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lilwi\OneDrive\Desktop\grcworkshop\outputs\erm-release\"/>
    </mc:Choice>
  </mc:AlternateContent>
  <xr:revisionPtr revIDLastSave="0" documentId="13_ncr:1_{68A71325-5AFD-4615-B5FD-954D4208541C}" xr6:coauthVersionLast="47" xr6:coauthVersionMax="47" xr10:uidLastSave="{00000000-0000-0000-0000-000000000000}"/>
  <bookViews>
    <workbookView xWindow="-110" yWindow="-110" windowWidth="19420" windowHeight="10300" xr2:uid="{00000000-000D-0000-FFFF-FFFF00000000}"/>
  </bookViews>
  <sheets>
    <sheet name="README" sheetId="1" r:id="rId1"/>
    <sheet name="Dashboard" sheetId="2" r:id="rId2"/>
    <sheet name="Methodology" sheetId="3" r:id="rId3"/>
    <sheet name="Appetite" sheetId="4" r:id="rId4"/>
    <sheet name="Risk Register" sheetId="5" r:id="rId5"/>
    <sheet name="Breach Monitor" sheetId="6" r:id="rId6"/>
    <sheet name="Treatment Tracker" sheetId="7" r:id="rId7"/>
    <sheet name="Risk Acceptance Register" sheetId="8" r:id="rId8"/>
    <sheet name="KRI Tracker" sheetId="9" r:id="rId9"/>
    <sheet name="Risk-Control Matrix" sheetId="10" r:id="rId10"/>
    <sheet name="RCM Summary" sheetId="11" r:id="rId11"/>
    <sheet name="Emerging Risks" sheetId="12" r:id="rId12"/>
    <sheet name="Scenario Analysis" sheetId="13" r:id="rId13"/>
    <sheet name="Risk Aggregation" sheetId="14" r:id="rId14"/>
    <sheet name="Aggregation Map" sheetId="15" r:id="rId15"/>
    <sheet name="Snapshot Capture" sheetId="16" r:id="rId16"/>
    <sheet name="Snapshot History" sheetId="17" r:id="rId17"/>
    <sheet name="Snapshot Trends" sheetId="18" r:id="rId18"/>
    <sheet name="Change Log" sheetId="19" r:id="rId19"/>
    <sheet name="Exception Register" sheetId="20" r:id="rId20"/>
    <sheet name="Checks" sheetId="21" r:id="rId21"/>
    <sheet name="v4.1 Validation Guide" sheetId="22" r:id="rId22"/>
  </sheets>
  <definedNames>
    <definedName name="_xlnm._FilterDatabase" localSheetId="14" hidden="1">'Aggregation Map'!$A$5:$H$205</definedName>
    <definedName name="_xlnm._FilterDatabase" localSheetId="3" hidden="1">Appetite!$A$5:$K$19</definedName>
    <definedName name="_xlnm._FilterDatabase" localSheetId="18" hidden="1">'Change Log'!$A$5:$K$505</definedName>
    <definedName name="_xlnm._FilterDatabase" localSheetId="11" hidden="1">'Emerging Risks'!$A$5:$U$65</definedName>
    <definedName name="_xlnm._FilterDatabase" localSheetId="19" hidden="1">'Exception Register'!$A$5:$K$45</definedName>
    <definedName name="_xlnm._FilterDatabase" localSheetId="8" hidden="1">'KRI Tracker'!$A$5:$Y$65</definedName>
    <definedName name="_xlnm._FilterDatabase" localSheetId="7" hidden="1">'Risk Acceptance Register'!$A$5:$T$105</definedName>
    <definedName name="_xlnm._FilterDatabase" localSheetId="4" hidden="1">'Risk Register'!$A$5:$AL$105</definedName>
    <definedName name="_xlnm._FilterDatabase" localSheetId="9" hidden="1">'Risk-Control Matrix'!$A$5:$P$155</definedName>
    <definedName name="_xlnm._FilterDatabase" localSheetId="16" hidden="1">'Snapshot History'!$A$5:$W$1005</definedName>
    <definedName name="_xlnm._FilterDatabase" localSheetId="6" hidden="1">'Treatment Tracker'!$A$5:$P$105</definedName>
    <definedName name="SnapshotChartAppetite">'Snapshot Trends'!$F$9:INDEX('Snapshot Trends'!$F$9:$F$30,MAX(1,COUNT('Snapshot Trends'!$A$9:$A$30)))</definedName>
    <definedName name="SnapshotChartDates">'Snapshot Trends'!$A$9:INDEX('Snapshot Trends'!$A$9:$A$30,MAX(1,COUNT('Snapshot Trends'!$A$9:$A$30)))</definedName>
    <definedName name="SnapshotChartTolerance">'Snapshot Trends'!$G$9:INDEX('Snapshot Trends'!$G$9:$G$30,MAX(1,COUNT('Snapshot Trends'!$A$9:$A$30)))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57" i="13" l="1"/>
  <c r="S56" i="13"/>
  <c r="S55" i="13"/>
  <c r="S54" i="13"/>
  <c r="S53" i="13"/>
  <c r="S52" i="13"/>
  <c r="S51" i="13"/>
  <c r="S50" i="13"/>
  <c r="S49" i="13"/>
  <c r="S48" i="13"/>
  <c r="S47" i="13"/>
  <c r="S46" i="13"/>
  <c r="S45" i="13"/>
  <c r="S44" i="13"/>
  <c r="S43" i="13"/>
  <c r="S42" i="13"/>
  <c r="S41" i="13"/>
  <c r="S40" i="13"/>
  <c r="S39" i="13"/>
  <c r="S38" i="13"/>
  <c r="S37" i="13"/>
  <c r="S36" i="13"/>
  <c r="S35" i="13"/>
  <c r="S34" i="13"/>
  <c r="S33" i="13"/>
  <c r="S32" i="13"/>
  <c r="S31" i="13"/>
  <c r="S30" i="13"/>
  <c r="S29" i="13"/>
  <c r="S28" i="13"/>
  <c r="S27" i="13"/>
  <c r="S26" i="13"/>
  <c r="S25" i="13"/>
  <c r="S24" i="13"/>
  <c r="S23" i="13"/>
  <c r="S22" i="13"/>
  <c r="S21" i="13"/>
  <c r="S20" i="13"/>
  <c r="S19" i="13"/>
  <c r="S18" i="13"/>
  <c r="S17" i="13"/>
  <c r="S16" i="13"/>
  <c r="S15" i="13"/>
  <c r="S14" i="13"/>
  <c r="S13" i="13"/>
  <c r="J5" i="18"/>
  <c r="E5" i="18"/>
  <c r="D5" i="18"/>
  <c r="G3" i="16"/>
  <c r="J45" i="20"/>
  <c r="K45" i="20" s="1"/>
  <c r="J44" i="20"/>
  <c r="K44" i="20" s="1"/>
  <c r="J43" i="20"/>
  <c r="K43" i="20" s="1"/>
  <c r="J42" i="20"/>
  <c r="K42" i="20" s="1"/>
  <c r="J41" i="20"/>
  <c r="K41" i="20" s="1"/>
  <c r="J40" i="20"/>
  <c r="K40" i="20" s="1"/>
  <c r="J39" i="20"/>
  <c r="K39" i="20" s="1"/>
  <c r="J38" i="20"/>
  <c r="K38" i="20" s="1"/>
  <c r="J37" i="20"/>
  <c r="K37" i="20" s="1"/>
  <c r="J36" i="20"/>
  <c r="K36" i="20" s="1"/>
  <c r="J35" i="20"/>
  <c r="K35" i="20" s="1"/>
  <c r="J34" i="20"/>
  <c r="K34" i="20" s="1"/>
  <c r="J33" i="20"/>
  <c r="K33" i="20" s="1"/>
  <c r="J32" i="20"/>
  <c r="K32" i="20" s="1"/>
  <c r="J31" i="20"/>
  <c r="K31" i="20" s="1"/>
  <c r="J30" i="20"/>
  <c r="K30" i="20" s="1"/>
  <c r="J29" i="20"/>
  <c r="K29" i="20" s="1"/>
  <c r="J28" i="20"/>
  <c r="K28" i="20" s="1"/>
  <c r="J27" i="20"/>
  <c r="K27" i="20" s="1"/>
  <c r="J26" i="20"/>
  <c r="K26" i="20" s="1"/>
  <c r="J25" i="20"/>
  <c r="K25" i="20" s="1"/>
  <c r="J24" i="20"/>
  <c r="K24" i="20" s="1"/>
  <c r="J23" i="20"/>
  <c r="K23" i="20" s="1"/>
  <c r="J22" i="20"/>
  <c r="K22" i="20" s="1"/>
  <c r="J21" i="20"/>
  <c r="K21" i="20" s="1"/>
  <c r="J20" i="20"/>
  <c r="K20" i="20" s="1"/>
  <c r="J19" i="20"/>
  <c r="K19" i="20" s="1"/>
  <c r="J18" i="20"/>
  <c r="K18" i="20" s="1"/>
  <c r="J17" i="20"/>
  <c r="K17" i="20" s="1"/>
  <c r="J16" i="20"/>
  <c r="K16" i="20" s="1"/>
  <c r="J15" i="20"/>
  <c r="K15" i="20" s="1"/>
  <c r="J14" i="20"/>
  <c r="K14" i="20" s="1"/>
  <c r="J13" i="20"/>
  <c r="K13" i="20" s="1"/>
  <c r="J12" i="20"/>
  <c r="K12" i="20" s="1"/>
  <c r="J11" i="20"/>
  <c r="K11" i="20" s="1"/>
  <c r="J10" i="20"/>
  <c r="K10" i="20" s="1"/>
  <c r="J9" i="20"/>
  <c r="K9" i="20" s="1"/>
  <c r="J8" i="20"/>
  <c r="K8" i="20" s="1"/>
  <c r="J7" i="20"/>
  <c r="K7" i="20" s="1"/>
  <c r="U57" i="13"/>
  <c r="U56" i="13"/>
  <c r="U55" i="13"/>
  <c r="U54" i="13"/>
  <c r="U53" i="13"/>
  <c r="U52" i="13"/>
  <c r="U51" i="13"/>
  <c r="U50" i="13"/>
  <c r="U49" i="13"/>
  <c r="U48" i="13"/>
  <c r="U47" i="13"/>
  <c r="U46" i="13"/>
  <c r="U45" i="13"/>
  <c r="U44" i="13"/>
  <c r="U43" i="13"/>
  <c r="U42" i="13"/>
  <c r="U41" i="13"/>
  <c r="U40" i="13"/>
  <c r="U39" i="13"/>
  <c r="U38" i="13"/>
  <c r="U37" i="13"/>
  <c r="U36" i="13"/>
  <c r="U35" i="13"/>
  <c r="U34" i="13"/>
  <c r="U33" i="13"/>
  <c r="U32" i="13"/>
  <c r="U31" i="13"/>
  <c r="U30" i="13"/>
  <c r="U29" i="13"/>
  <c r="U28" i="13"/>
  <c r="U27" i="13"/>
  <c r="U26" i="13"/>
  <c r="U25" i="13"/>
  <c r="U24" i="13"/>
  <c r="U23" i="13"/>
  <c r="U22" i="13"/>
  <c r="U21" i="13"/>
  <c r="U20" i="13"/>
  <c r="U19" i="13"/>
  <c r="U18" i="13"/>
  <c r="U17" i="13"/>
  <c r="U16" i="13"/>
  <c r="U15" i="13"/>
  <c r="U14" i="13"/>
  <c r="U13" i="13"/>
  <c r="U12" i="13"/>
  <c r="S12" i="13" s="1"/>
  <c r="U11" i="13"/>
  <c r="S11" i="13" s="1"/>
  <c r="U10" i="13"/>
  <c r="S10" i="13" s="1"/>
  <c r="U9" i="13"/>
  <c r="S9" i="13" s="1"/>
  <c r="U8" i="13"/>
  <c r="T105" i="8"/>
  <c r="AI105" i="5"/>
  <c r="H105" i="5"/>
  <c r="T104" i="8"/>
  <c r="Y104" i="5"/>
  <c r="AI104" i="5"/>
  <c r="U104" i="5"/>
  <c r="H104" i="5"/>
  <c r="T103" i="8"/>
  <c r="Y103" i="5"/>
  <c r="AI103" i="5"/>
  <c r="U103" i="5"/>
  <c r="H103" i="5"/>
  <c r="T102" i="8"/>
  <c r="Y102" i="5"/>
  <c r="AI102" i="5"/>
  <c r="U102" i="5"/>
  <c r="H102" i="5"/>
  <c r="T101" i="8"/>
  <c r="Y101" i="5"/>
  <c r="AI101" i="5"/>
  <c r="U101" i="5"/>
  <c r="H101" i="5"/>
  <c r="T100" i="8"/>
  <c r="Y100" i="5"/>
  <c r="AI100" i="5"/>
  <c r="U100" i="5"/>
  <c r="H100" i="5"/>
  <c r="T99" i="8"/>
  <c r="Y99" i="5"/>
  <c r="AI99" i="5"/>
  <c r="U99" i="5"/>
  <c r="H99" i="5"/>
  <c r="T98" i="8"/>
  <c r="Y98" i="5"/>
  <c r="AI98" i="5"/>
  <c r="U98" i="5"/>
  <c r="H98" i="5"/>
  <c r="T97" i="8"/>
  <c r="Y97" i="5"/>
  <c r="AI97" i="5"/>
  <c r="U97" i="5"/>
  <c r="H97" i="5"/>
  <c r="T96" i="8"/>
  <c r="Y96" i="5"/>
  <c r="AI96" i="5"/>
  <c r="U96" i="5"/>
  <c r="H96" i="5"/>
  <c r="T95" i="8"/>
  <c r="Y95" i="5"/>
  <c r="AI95" i="5"/>
  <c r="U95" i="5"/>
  <c r="H95" i="5"/>
  <c r="T94" i="8"/>
  <c r="Y94" i="5"/>
  <c r="AI94" i="5"/>
  <c r="U94" i="5"/>
  <c r="H94" i="5"/>
  <c r="T93" i="8"/>
  <c r="Y93" i="5"/>
  <c r="AI93" i="5"/>
  <c r="U93" i="5"/>
  <c r="H93" i="5"/>
  <c r="T92" i="8"/>
  <c r="Y92" i="5"/>
  <c r="AI92" i="5"/>
  <c r="U92" i="5"/>
  <c r="H92" i="5"/>
  <c r="T91" i="8"/>
  <c r="Y91" i="5"/>
  <c r="AI91" i="5"/>
  <c r="U91" i="5"/>
  <c r="H91" i="5"/>
  <c r="T90" i="8"/>
  <c r="Y90" i="5"/>
  <c r="AI90" i="5"/>
  <c r="U90" i="5"/>
  <c r="H90" i="5"/>
  <c r="T89" i="8"/>
  <c r="Y89" i="5"/>
  <c r="AI89" i="5"/>
  <c r="U89" i="5"/>
  <c r="H89" i="5"/>
  <c r="T88" i="8"/>
  <c r="Y88" i="5"/>
  <c r="AI88" i="5"/>
  <c r="U88" i="5"/>
  <c r="H88" i="5"/>
  <c r="T87" i="8"/>
  <c r="Y87" i="5"/>
  <c r="AI87" i="5"/>
  <c r="U87" i="5"/>
  <c r="H87" i="5"/>
  <c r="T86" i="8"/>
  <c r="Y86" i="5"/>
  <c r="AI86" i="5"/>
  <c r="U86" i="5"/>
  <c r="H86" i="5"/>
  <c r="T85" i="8"/>
  <c r="Y85" i="5"/>
  <c r="AI85" i="5"/>
  <c r="U85" i="5"/>
  <c r="H85" i="5"/>
  <c r="T84" i="8"/>
  <c r="Y84" i="5"/>
  <c r="AI84" i="5"/>
  <c r="U84" i="5"/>
  <c r="H84" i="5"/>
  <c r="T83" i="8"/>
  <c r="Y83" i="5"/>
  <c r="AI83" i="5"/>
  <c r="U83" i="5"/>
  <c r="H83" i="5"/>
  <c r="T82" i="8"/>
  <c r="Y82" i="5"/>
  <c r="AI82" i="5"/>
  <c r="U82" i="5"/>
  <c r="H82" i="5"/>
  <c r="T81" i="8"/>
  <c r="Y81" i="5"/>
  <c r="AI81" i="5"/>
  <c r="U81" i="5"/>
  <c r="H81" i="5"/>
  <c r="T80" i="8"/>
  <c r="Y80" i="5"/>
  <c r="AI80" i="5"/>
  <c r="U80" i="5"/>
  <c r="H80" i="5"/>
  <c r="T79" i="8"/>
  <c r="Y79" i="5"/>
  <c r="AI79" i="5"/>
  <c r="U79" i="5"/>
  <c r="H79" i="5"/>
  <c r="T78" i="8"/>
  <c r="Y78" i="5"/>
  <c r="AI78" i="5"/>
  <c r="U78" i="5"/>
  <c r="H78" i="5"/>
  <c r="T77" i="8"/>
  <c r="Y77" i="5"/>
  <c r="AI77" i="5"/>
  <c r="U77" i="5"/>
  <c r="H77" i="5"/>
  <c r="T76" i="8"/>
  <c r="Y76" i="5"/>
  <c r="AI76" i="5"/>
  <c r="U76" i="5"/>
  <c r="H76" i="5"/>
  <c r="T75" i="8"/>
  <c r="Y75" i="5"/>
  <c r="AI75" i="5"/>
  <c r="U75" i="5"/>
  <c r="H75" i="5"/>
  <c r="T74" i="8"/>
  <c r="Y74" i="5"/>
  <c r="AI74" i="5"/>
  <c r="U74" i="5"/>
  <c r="H74" i="5"/>
  <c r="T73" i="8"/>
  <c r="Y73" i="5"/>
  <c r="AI73" i="5"/>
  <c r="U73" i="5"/>
  <c r="H73" i="5"/>
  <c r="T72" i="8"/>
  <c r="Y72" i="5"/>
  <c r="AI72" i="5"/>
  <c r="U72" i="5"/>
  <c r="H72" i="5"/>
  <c r="T71" i="8"/>
  <c r="Y71" i="5"/>
  <c r="AI71" i="5"/>
  <c r="U71" i="5"/>
  <c r="H71" i="5"/>
  <c r="T70" i="8"/>
  <c r="Y70" i="5"/>
  <c r="AI70" i="5"/>
  <c r="U70" i="5"/>
  <c r="H70" i="5"/>
  <c r="T69" i="8"/>
  <c r="Y69" i="5"/>
  <c r="AI69" i="5"/>
  <c r="U69" i="5"/>
  <c r="H69" i="5"/>
  <c r="T68" i="8"/>
  <c r="Y68" i="5"/>
  <c r="AI68" i="5"/>
  <c r="U68" i="5"/>
  <c r="H68" i="5"/>
  <c r="T67" i="8"/>
  <c r="Y67" i="5"/>
  <c r="AI67" i="5"/>
  <c r="U67" i="5"/>
  <c r="H67" i="5"/>
  <c r="T66" i="8"/>
  <c r="Y66" i="5"/>
  <c r="AI66" i="5"/>
  <c r="U66" i="5"/>
  <c r="H66" i="5"/>
  <c r="T65" i="8"/>
  <c r="Y65" i="5"/>
  <c r="AI65" i="5"/>
  <c r="U65" i="5"/>
  <c r="H65" i="5"/>
  <c r="T64" i="8"/>
  <c r="Y64" i="5"/>
  <c r="AI64" i="5"/>
  <c r="U64" i="5"/>
  <c r="H64" i="5"/>
  <c r="T63" i="8"/>
  <c r="Y63" i="5"/>
  <c r="AI63" i="5"/>
  <c r="U63" i="5"/>
  <c r="H63" i="5"/>
  <c r="T62" i="8"/>
  <c r="Y62" i="5"/>
  <c r="AI62" i="5"/>
  <c r="U62" i="5"/>
  <c r="H62" i="5"/>
  <c r="T61" i="8"/>
  <c r="Y61" i="5"/>
  <c r="AI61" i="5"/>
  <c r="U61" i="5"/>
  <c r="H61" i="5"/>
  <c r="T60" i="8"/>
  <c r="Y60" i="5"/>
  <c r="AI60" i="5"/>
  <c r="U60" i="5"/>
  <c r="H60" i="5"/>
  <c r="T59" i="8"/>
  <c r="Y59" i="5"/>
  <c r="AI59" i="5"/>
  <c r="U59" i="5"/>
  <c r="H59" i="5"/>
  <c r="T58" i="8"/>
  <c r="Y58" i="5"/>
  <c r="AI58" i="5"/>
  <c r="U58" i="5"/>
  <c r="H58" i="5"/>
  <c r="T57" i="8"/>
  <c r="Y57" i="5"/>
  <c r="AI57" i="5"/>
  <c r="U57" i="5"/>
  <c r="H57" i="5"/>
  <c r="T56" i="8"/>
  <c r="Y56" i="5"/>
  <c r="AI56" i="5"/>
  <c r="U56" i="5"/>
  <c r="H56" i="5"/>
  <c r="T55" i="8"/>
  <c r="Y55" i="5"/>
  <c r="AI55" i="5"/>
  <c r="U55" i="5"/>
  <c r="H55" i="5"/>
  <c r="T54" i="8"/>
  <c r="Y54" i="5"/>
  <c r="AI54" i="5"/>
  <c r="U54" i="5"/>
  <c r="H54" i="5"/>
  <c r="T53" i="8"/>
  <c r="Y53" i="5"/>
  <c r="AI53" i="5"/>
  <c r="U53" i="5"/>
  <c r="H53" i="5"/>
  <c r="T52" i="8"/>
  <c r="Y52" i="5"/>
  <c r="AI52" i="5"/>
  <c r="U52" i="5"/>
  <c r="H52" i="5"/>
  <c r="T51" i="8"/>
  <c r="Y51" i="5"/>
  <c r="AI51" i="5"/>
  <c r="U51" i="5"/>
  <c r="H51" i="5"/>
  <c r="T50" i="8"/>
  <c r="Y50" i="5"/>
  <c r="AI50" i="5"/>
  <c r="U50" i="5"/>
  <c r="H50" i="5"/>
  <c r="T49" i="8"/>
  <c r="Y49" i="5"/>
  <c r="AI49" i="5"/>
  <c r="U49" i="5"/>
  <c r="H49" i="5"/>
  <c r="T48" i="8"/>
  <c r="Y48" i="5"/>
  <c r="AI48" i="5"/>
  <c r="U48" i="5"/>
  <c r="H48" i="5"/>
  <c r="T47" i="8"/>
  <c r="Y47" i="5"/>
  <c r="AI47" i="5"/>
  <c r="U47" i="5"/>
  <c r="H47" i="5"/>
  <c r="T46" i="8"/>
  <c r="Y46" i="5"/>
  <c r="AI46" i="5"/>
  <c r="U46" i="5"/>
  <c r="H46" i="5"/>
  <c r="T45" i="8"/>
  <c r="Y45" i="5"/>
  <c r="AI45" i="5"/>
  <c r="U45" i="5"/>
  <c r="H45" i="5"/>
  <c r="T44" i="8"/>
  <c r="Y44" i="5"/>
  <c r="AI44" i="5"/>
  <c r="U44" i="5"/>
  <c r="H44" i="5"/>
  <c r="T43" i="8"/>
  <c r="Y43" i="5"/>
  <c r="AI43" i="5"/>
  <c r="U43" i="5"/>
  <c r="H43" i="5"/>
  <c r="T42" i="8"/>
  <c r="Y42" i="5"/>
  <c r="AI42" i="5"/>
  <c r="U42" i="5"/>
  <c r="H42" i="5"/>
  <c r="T41" i="8"/>
  <c r="Y41" i="5"/>
  <c r="AI41" i="5"/>
  <c r="U41" i="5"/>
  <c r="H41" i="5"/>
  <c r="T40" i="8"/>
  <c r="Y40" i="5"/>
  <c r="AI40" i="5"/>
  <c r="U40" i="5"/>
  <c r="H40" i="5"/>
  <c r="T39" i="8"/>
  <c r="Y39" i="5"/>
  <c r="AI39" i="5"/>
  <c r="U39" i="5"/>
  <c r="H39" i="5"/>
  <c r="T38" i="8"/>
  <c r="Y38" i="5"/>
  <c r="AI38" i="5"/>
  <c r="U38" i="5"/>
  <c r="H38" i="5"/>
  <c r="T37" i="8"/>
  <c r="Y37" i="5"/>
  <c r="AI37" i="5"/>
  <c r="U37" i="5"/>
  <c r="H37" i="5"/>
  <c r="T36" i="8"/>
  <c r="Y36" i="5"/>
  <c r="AI36" i="5"/>
  <c r="U36" i="5"/>
  <c r="H36" i="5"/>
  <c r="T35" i="8"/>
  <c r="Y35" i="5"/>
  <c r="AI35" i="5"/>
  <c r="U35" i="5"/>
  <c r="H35" i="5"/>
  <c r="T34" i="8"/>
  <c r="Y34" i="5"/>
  <c r="AI34" i="5"/>
  <c r="U34" i="5"/>
  <c r="H34" i="5"/>
  <c r="T33" i="8"/>
  <c r="Y33" i="5"/>
  <c r="AI33" i="5"/>
  <c r="U33" i="5"/>
  <c r="H33" i="5"/>
  <c r="T32" i="8"/>
  <c r="Y32" i="5"/>
  <c r="AI32" i="5"/>
  <c r="U32" i="5"/>
  <c r="H32" i="5"/>
  <c r="T31" i="8"/>
  <c r="Y31" i="5"/>
  <c r="AI31" i="5"/>
  <c r="U31" i="5"/>
  <c r="H31" i="5"/>
  <c r="T30" i="8"/>
  <c r="Y30" i="5"/>
  <c r="AI30" i="5"/>
  <c r="U30" i="5"/>
  <c r="H30" i="5"/>
  <c r="T29" i="8"/>
  <c r="Y29" i="5"/>
  <c r="AI29" i="5"/>
  <c r="U29" i="5"/>
  <c r="H29" i="5"/>
  <c r="T28" i="8"/>
  <c r="Y28" i="5"/>
  <c r="AI28" i="5"/>
  <c r="U28" i="5"/>
  <c r="H28" i="5"/>
  <c r="T27" i="8"/>
  <c r="Y27" i="5"/>
  <c r="AI27" i="5"/>
  <c r="U27" i="5"/>
  <c r="H27" i="5"/>
  <c r="T26" i="8"/>
  <c r="Y26" i="5"/>
  <c r="AI26" i="5"/>
  <c r="U26" i="5"/>
  <c r="H26" i="5"/>
  <c r="T25" i="8"/>
  <c r="Y25" i="5"/>
  <c r="AI25" i="5"/>
  <c r="U25" i="5"/>
  <c r="H25" i="5"/>
  <c r="T24" i="8"/>
  <c r="Y24" i="5"/>
  <c r="AI24" i="5"/>
  <c r="U24" i="5"/>
  <c r="H24" i="5"/>
  <c r="T23" i="8"/>
  <c r="Y23" i="5"/>
  <c r="AI23" i="5"/>
  <c r="U23" i="5"/>
  <c r="H23" i="5"/>
  <c r="T22" i="8"/>
  <c r="Y22" i="5"/>
  <c r="AI22" i="5"/>
  <c r="U22" i="5"/>
  <c r="H22" i="5"/>
  <c r="T21" i="8"/>
  <c r="Y21" i="5"/>
  <c r="AI21" i="5"/>
  <c r="U21" i="5"/>
  <c r="H21" i="5"/>
  <c r="T20" i="8"/>
  <c r="Y20" i="5"/>
  <c r="AI20" i="5"/>
  <c r="U20" i="5"/>
  <c r="H20" i="5"/>
  <c r="T19" i="8"/>
  <c r="Y19" i="5"/>
  <c r="AI19" i="5"/>
  <c r="U19" i="5"/>
  <c r="H19" i="5"/>
  <c r="T18" i="8"/>
  <c r="Y18" i="5"/>
  <c r="AI18" i="5"/>
  <c r="U18" i="5"/>
  <c r="H18" i="5"/>
  <c r="T17" i="8"/>
  <c r="Y17" i="5"/>
  <c r="AI17" i="5"/>
  <c r="U17" i="5"/>
  <c r="H17" i="5"/>
  <c r="T16" i="8"/>
  <c r="Y16" i="5"/>
  <c r="AI16" i="5"/>
  <c r="U16" i="5"/>
  <c r="H16" i="5"/>
  <c r="T15" i="8"/>
  <c r="Y15" i="5"/>
  <c r="AI15" i="5"/>
  <c r="U15" i="5"/>
  <c r="H15" i="5"/>
  <c r="T14" i="8"/>
  <c r="Y14" i="5"/>
  <c r="AI14" i="5"/>
  <c r="U14" i="5"/>
  <c r="H14" i="5"/>
  <c r="T13" i="8"/>
  <c r="AI13" i="5"/>
  <c r="H13" i="5"/>
  <c r="T12" i="8"/>
  <c r="H12" i="5"/>
  <c r="I12" i="5" s="1"/>
  <c r="T11" i="8"/>
  <c r="H11" i="5"/>
  <c r="I11" i="5" s="1"/>
  <c r="T10" i="8"/>
  <c r="H10" i="5"/>
  <c r="I10" i="5" s="1"/>
  <c r="T9" i="8"/>
  <c r="H9" i="5"/>
  <c r="I9" i="5" s="1"/>
  <c r="T8" i="8"/>
  <c r="H8" i="5"/>
  <c r="I8" i="5" s="1"/>
  <c r="H7" i="5"/>
  <c r="I7" i="5" s="1"/>
  <c r="H6" i="5"/>
  <c r="B28" i="21"/>
  <c r="C26" i="21"/>
  <c r="C25" i="21"/>
  <c r="C24" i="21"/>
  <c r="C22" i="21"/>
  <c r="C21" i="21"/>
  <c r="C20" i="21"/>
  <c r="C19" i="21"/>
  <c r="C18" i="21"/>
  <c r="B18" i="21"/>
  <c r="C17" i="21"/>
  <c r="C16" i="21"/>
  <c r="C15" i="21"/>
  <c r="C14" i="21"/>
  <c r="B14" i="21"/>
  <c r="C13" i="21"/>
  <c r="B13" i="21"/>
  <c r="C12" i="21"/>
  <c r="B12" i="21"/>
  <c r="C10" i="21"/>
  <c r="C9" i="21"/>
  <c r="C8" i="21"/>
  <c r="B8" i="21"/>
  <c r="C7" i="21"/>
  <c r="C6" i="21"/>
  <c r="B6" i="21"/>
  <c r="C5" i="21"/>
  <c r="B5" i="21"/>
  <c r="A135" i="18"/>
  <c r="A134" i="18"/>
  <c r="A133" i="18"/>
  <c r="A132" i="18"/>
  <c r="A131" i="18"/>
  <c r="A130" i="18"/>
  <c r="A129" i="18"/>
  <c r="A128" i="18"/>
  <c r="A127" i="18"/>
  <c r="A126" i="18"/>
  <c r="A125" i="18"/>
  <c r="A124" i="18"/>
  <c r="A123" i="18"/>
  <c r="A122" i="18"/>
  <c r="A121" i="18"/>
  <c r="A120" i="18"/>
  <c r="A119" i="18"/>
  <c r="A118" i="18"/>
  <c r="A117" i="18"/>
  <c r="A116" i="18"/>
  <c r="A115" i="18"/>
  <c r="A114" i="18"/>
  <c r="A113" i="18"/>
  <c r="A112" i="18"/>
  <c r="A111" i="18"/>
  <c r="A110" i="18"/>
  <c r="A109" i="18"/>
  <c r="A108" i="18"/>
  <c r="A107" i="18"/>
  <c r="A106" i="18"/>
  <c r="A105" i="18"/>
  <c r="A104" i="18"/>
  <c r="A103" i="18"/>
  <c r="A102" i="18"/>
  <c r="A101" i="18"/>
  <c r="A100" i="18"/>
  <c r="A99" i="18"/>
  <c r="A98" i="18"/>
  <c r="A97" i="18"/>
  <c r="A96" i="18"/>
  <c r="A95" i="18"/>
  <c r="A94" i="18"/>
  <c r="A93" i="18"/>
  <c r="A92" i="18"/>
  <c r="A91" i="18"/>
  <c r="A90" i="18"/>
  <c r="A89" i="18"/>
  <c r="A88" i="18"/>
  <c r="A87" i="18"/>
  <c r="A86" i="18"/>
  <c r="A85" i="18"/>
  <c r="A84" i="18"/>
  <c r="A83" i="18"/>
  <c r="A82" i="18"/>
  <c r="A81" i="18"/>
  <c r="A80" i="18"/>
  <c r="A79" i="18"/>
  <c r="A78" i="18"/>
  <c r="A77" i="18"/>
  <c r="A76" i="18"/>
  <c r="A75" i="18"/>
  <c r="A74" i="18"/>
  <c r="A73" i="18"/>
  <c r="A72" i="18"/>
  <c r="A71" i="18"/>
  <c r="A70" i="18"/>
  <c r="A69" i="18"/>
  <c r="A68" i="18"/>
  <c r="A67" i="18"/>
  <c r="A66" i="18"/>
  <c r="A65" i="18"/>
  <c r="A64" i="18"/>
  <c r="A63" i="18"/>
  <c r="A62" i="18"/>
  <c r="A61" i="18"/>
  <c r="A60" i="18"/>
  <c r="A59" i="18"/>
  <c r="A58" i="18"/>
  <c r="A57" i="18"/>
  <c r="A56" i="18"/>
  <c r="A55" i="18"/>
  <c r="A54" i="18"/>
  <c r="A53" i="18"/>
  <c r="A52" i="18"/>
  <c r="A51" i="18"/>
  <c r="A50" i="18"/>
  <c r="A49" i="18"/>
  <c r="A48" i="18"/>
  <c r="A47" i="18"/>
  <c r="A46" i="18"/>
  <c r="A45" i="18"/>
  <c r="A44" i="18"/>
  <c r="A43" i="18"/>
  <c r="A42" i="18"/>
  <c r="A41" i="18"/>
  <c r="A40" i="18"/>
  <c r="A39" i="18"/>
  <c r="A38" i="18"/>
  <c r="A37" i="18"/>
  <c r="A36" i="18"/>
  <c r="Q30" i="18"/>
  <c r="M30" i="18"/>
  <c r="L30" i="18"/>
  <c r="K30" i="18"/>
  <c r="J30" i="18"/>
  <c r="I30" i="18"/>
  <c r="H30" i="18"/>
  <c r="G30" i="18"/>
  <c r="F30" i="18"/>
  <c r="E30" i="18"/>
  <c r="D30" i="18"/>
  <c r="C30" i="18"/>
  <c r="B30" i="18"/>
  <c r="Q29" i="18"/>
  <c r="M29" i="18"/>
  <c r="L29" i="18"/>
  <c r="K29" i="18"/>
  <c r="J29" i="18"/>
  <c r="I29" i="18"/>
  <c r="H29" i="18"/>
  <c r="G29" i="18"/>
  <c r="F29" i="18"/>
  <c r="E29" i="18"/>
  <c r="D29" i="18"/>
  <c r="C29" i="18"/>
  <c r="B29" i="18"/>
  <c r="Q28" i="18"/>
  <c r="M28" i="18"/>
  <c r="L28" i="18"/>
  <c r="K28" i="18"/>
  <c r="J28" i="18"/>
  <c r="I28" i="18"/>
  <c r="H28" i="18"/>
  <c r="G28" i="18"/>
  <c r="F28" i="18"/>
  <c r="E28" i="18"/>
  <c r="D28" i="18"/>
  <c r="C28" i="18"/>
  <c r="B28" i="18"/>
  <c r="Q27" i="18"/>
  <c r="M27" i="18"/>
  <c r="L27" i="18"/>
  <c r="K27" i="18"/>
  <c r="J27" i="18"/>
  <c r="I27" i="18"/>
  <c r="H27" i="18"/>
  <c r="G27" i="18"/>
  <c r="F27" i="18"/>
  <c r="E27" i="18"/>
  <c r="D27" i="18"/>
  <c r="C27" i="18"/>
  <c r="B27" i="18"/>
  <c r="Q26" i="18"/>
  <c r="M26" i="18"/>
  <c r="L26" i="18"/>
  <c r="K26" i="18"/>
  <c r="J26" i="18"/>
  <c r="I26" i="18"/>
  <c r="H26" i="18"/>
  <c r="G26" i="18"/>
  <c r="F26" i="18"/>
  <c r="E26" i="18"/>
  <c r="D26" i="18"/>
  <c r="C26" i="18"/>
  <c r="B26" i="18"/>
  <c r="Q25" i="18"/>
  <c r="M25" i="18"/>
  <c r="L25" i="18"/>
  <c r="K25" i="18"/>
  <c r="J25" i="18"/>
  <c r="I25" i="18"/>
  <c r="H25" i="18"/>
  <c r="G25" i="18"/>
  <c r="F25" i="18"/>
  <c r="E25" i="18"/>
  <c r="D25" i="18"/>
  <c r="C25" i="18"/>
  <c r="B25" i="18"/>
  <c r="Q24" i="18"/>
  <c r="M24" i="18"/>
  <c r="L24" i="18"/>
  <c r="K24" i="18"/>
  <c r="J24" i="18"/>
  <c r="I24" i="18"/>
  <c r="H24" i="18"/>
  <c r="G24" i="18"/>
  <c r="F24" i="18"/>
  <c r="E24" i="18"/>
  <c r="D24" i="18"/>
  <c r="C24" i="18"/>
  <c r="B24" i="18"/>
  <c r="Q23" i="18"/>
  <c r="M23" i="18"/>
  <c r="L23" i="18"/>
  <c r="K23" i="18"/>
  <c r="J23" i="18"/>
  <c r="I23" i="18"/>
  <c r="H23" i="18"/>
  <c r="G23" i="18"/>
  <c r="F23" i="18"/>
  <c r="E23" i="18"/>
  <c r="D23" i="18"/>
  <c r="C23" i="18"/>
  <c r="B23" i="18"/>
  <c r="Q22" i="18"/>
  <c r="M22" i="18"/>
  <c r="L22" i="18"/>
  <c r="K22" i="18"/>
  <c r="J22" i="18"/>
  <c r="I22" i="18"/>
  <c r="H22" i="18"/>
  <c r="G22" i="18"/>
  <c r="F22" i="18"/>
  <c r="E22" i="18"/>
  <c r="D22" i="18"/>
  <c r="C22" i="18"/>
  <c r="B22" i="18"/>
  <c r="Q21" i="18"/>
  <c r="M21" i="18"/>
  <c r="L21" i="18"/>
  <c r="K21" i="18"/>
  <c r="J21" i="18"/>
  <c r="I21" i="18"/>
  <c r="H21" i="18"/>
  <c r="G21" i="18"/>
  <c r="F21" i="18"/>
  <c r="E21" i="18"/>
  <c r="D21" i="18"/>
  <c r="C21" i="18"/>
  <c r="B21" i="18"/>
  <c r="Q20" i="18"/>
  <c r="M20" i="18"/>
  <c r="L20" i="18"/>
  <c r="K20" i="18"/>
  <c r="J20" i="18"/>
  <c r="I20" i="18"/>
  <c r="H20" i="18"/>
  <c r="G20" i="18"/>
  <c r="F20" i="18"/>
  <c r="E20" i="18"/>
  <c r="D20" i="18"/>
  <c r="C20" i="18"/>
  <c r="B20" i="18"/>
  <c r="Q19" i="18"/>
  <c r="M19" i="18"/>
  <c r="L19" i="18"/>
  <c r="K19" i="18"/>
  <c r="J19" i="18"/>
  <c r="I19" i="18"/>
  <c r="H19" i="18"/>
  <c r="G19" i="18"/>
  <c r="F19" i="18"/>
  <c r="E19" i="18"/>
  <c r="D19" i="18"/>
  <c r="C19" i="18"/>
  <c r="B19" i="18"/>
  <c r="Q18" i="18"/>
  <c r="M18" i="18"/>
  <c r="L18" i="18"/>
  <c r="K18" i="18"/>
  <c r="J18" i="18"/>
  <c r="I18" i="18"/>
  <c r="H18" i="18"/>
  <c r="G18" i="18"/>
  <c r="F18" i="18"/>
  <c r="E18" i="18"/>
  <c r="D18" i="18"/>
  <c r="C18" i="18"/>
  <c r="B18" i="18"/>
  <c r="Q17" i="18"/>
  <c r="M17" i="18"/>
  <c r="L17" i="18"/>
  <c r="K17" i="18"/>
  <c r="J17" i="18"/>
  <c r="I17" i="18"/>
  <c r="H17" i="18"/>
  <c r="G17" i="18"/>
  <c r="F17" i="18"/>
  <c r="E17" i="18"/>
  <c r="D17" i="18"/>
  <c r="C17" i="18"/>
  <c r="B17" i="18"/>
  <c r="Q16" i="18"/>
  <c r="M16" i="18"/>
  <c r="L16" i="18"/>
  <c r="K16" i="18"/>
  <c r="J16" i="18"/>
  <c r="I16" i="18"/>
  <c r="H16" i="18"/>
  <c r="G16" i="18"/>
  <c r="F16" i="18"/>
  <c r="E16" i="18"/>
  <c r="D16" i="18"/>
  <c r="C16" i="18"/>
  <c r="B16" i="18"/>
  <c r="Q15" i="18"/>
  <c r="M15" i="18"/>
  <c r="L15" i="18"/>
  <c r="K15" i="18"/>
  <c r="J15" i="18"/>
  <c r="I15" i="18"/>
  <c r="H15" i="18"/>
  <c r="G15" i="18"/>
  <c r="F15" i="18"/>
  <c r="E15" i="18"/>
  <c r="D15" i="18"/>
  <c r="C15" i="18"/>
  <c r="B15" i="18"/>
  <c r="Q14" i="18"/>
  <c r="M14" i="18"/>
  <c r="L14" i="18"/>
  <c r="K14" i="18"/>
  <c r="J14" i="18"/>
  <c r="I14" i="18"/>
  <c r="H14" i="18"/>
  <c r="G14" i="18"/>
  <c r="F14" i="18"/>
  <c r="E14" i="18"/>
  <c r="D14" i="18"/>
  <c r="C14" i="18"/>
  <c r="B14" i="18"/>
  <c r="Q13" i="18"/>
  <c r="M13" i="18"/>
  <c r="L13" i="18"/>
  <c r="K13" i="18"/>
  <c r="J13" i="18"/>
  <c r="I13" i="18"/>
  <c r="H13" i="18"/>
  <c r="G13" i="18"/>
  <c r="F13" i="18"/>
  <c r="E13" i="18"/>
  <c r="D13" i="18"/>
  <c r="C13" i="18"/>
  <c r="B13" i="18"/>
  <c r="Q12" i="18"/>
  <c r="M12" i="18"/>
  <c r="L12" i="18"/>
  <c r="K12" i="18"/>
  <c r="J12" i="18"/>
  <c r="I12" i="18"/>
  <c r="H12" i="18"/>
  <c r="G12" i="18"/>
  <c r="F12" i="18"/>
  <c r="E12" i="18"/>
  <c r="D12" i="18"/>
  <c r="C12" i="18"/>
  <c r="B12" i="18"/>
  <c r="Q11" i="18"/>
  <c r="M11" i="18"/>
  <c r="L11" i="18"/>
  <c r="K11" i="18"/>
  <c r="J11" i="18"/>
  <c r="I11" i="18"/>
  <c r="H11" i="18"/>
  <c r="G11" i="18"/>
  <c r="F11" i="18"/>
  <c r="E11" i="18"/>
  <c r="D11" i="18"/>
  <c r="C11" i="18"/>
  <c r="B11" i="18"/>
  <c r="L10" i="18"/>
  <c r="K10" i="18"/>
  <c r="J10" i="18"/>
  <c r="I10" i="18"/>
  <c r="H10" i="18"/>
  <c r="G10" i="18"/>
  <c r="F10" i="18"/>
  <c r="E10" i="18"/>
  <c r="D10" i="18"/>
  <c r="C10" i="18"/>
  <c r="B10" i="18"/>
  <c r="M9" i="18"/>
  <c r="L9" i="18"/>
  <c r="K9" i="18"/>
  <c r="J9" i="18"/>
  <c r="I9" i="18"/>
  <c r="H9" i="18"/>
  <c r="G9" i="18"/>
  <c r="F9" i="18"/>
  <c r="E9" i="18"/>
  <c r="D9" i="18"/>
  <c r="C9" i="18"/>
  <c r="B9" i="18"/>
  <c r="W1005" i="17"/>
  <c r="W1004" i="17"/>
  <c r="W1003" i="17"/>
  <c r="W1002" i="17"/>
  <c r="W1001" i="17"/>
  <c r="W1000" i="17"/>
  <c r="W999" i="17"/>
  <c r="W998" i="17"/>
  <c r="W997" i="17"/>
  <c r="W996" i="17"/>
  <c r="W995" i="17"/>
  <c r="W994" i="17"/>
  <c r="W993" i="17"/>
  <c r="W992" i="17"/>
  <c r="W991" i="17"/>
  <c r="W990" i="17"/>
  <c r="W989" i="17"/>
  <c r="W988" i="17"/>
  <c r="W987" i="17"/>
  <c r="W986" i="17"/>
  <c r="W985" i="17"/>
  <c r="W984" i="17"/>
  <c r="W983" i="17"/>
  <c r="W982" i="17"/>
  <c r="W981" i="17"/>
  <c r="W980" i="17"/>
  <c r="W979" i="17"/>
  <c r="W978" i="17"/>
  <c r="W977" i="17"/>
  <c r="W976" i="17"/>
  <c r="W975" i="17"/>
  <c r="W974" i="17"/>
  <c r="W973" i="17"/>
  <c r="W972" i="17"/>
  <c r="W971" i="17"/>
  <c r="W970" i="17"/>
  <c r="W969" i="17"/>
  <c r="W968" i="17"/>
  <c r="W967" i="17"/>
  <c r="W966" i="17"/>
  <c r="W965" i="17"/>
  <c r="W964" i="17"/>
  <c r="W963" i="17"/>
  <c r="W962" i="17"/>
  <c r="W961" i="17"/>
  <c r="W960" i="17"/>
  <c r="W959" i="17"/>
  <c r="W958" i="17"/>
  <c r="W957" i="17"/>
  <c r="W956" i="17"/>
  <c r="W955" i="17"/>
  <c r="W954" i="17"/>
  <c r="W953" i="17"/>
  <c r="W952" i="17"/>
  <c r="W951" i="17"/>
  <c r="W950" i="17"/>
  <c r="W949" i="17"/>
  <c r="W948" i="17"/>
  <c r="W947" i="17"/>
  <c r="W946" i="17"/>
  <c r="W945" i="17"/>
  <c r="W944" i="17"/>
  <c r="W943" i="17"/>
  <c r="W942" i="17"/>
  <c r="W941" i="17"/>
  <c r="W940" i="17"/>
  <c r="W939" i="17"/>
  <c r="W938" i="17"/>
  <c r="W937" i="17"/>
  <c r="W936" i="17"/>
  <c r="W935" i="17"/>
  <c r="W934" i="17"/>
  <c r="W933" i="17"/>
  <c r="W932" i="17"/>
  <c r="W931" i="17"/>
  <c r="W930" i="17"/>
  <c r="W929" i="17"/>
  <c r="W928" i="17"/>
  <c r="W927" i="17"/>
  <c r="W926" i="17"/>
  <c r="W925" i="17"/>
  <c r="W924" i="17"/>
  <c r="W923" i="17"/>
  <c r="W922" i="17"/>
  <c r="W921" i="17"/>
  <c r="W920" i="17"/>
  <c r="W919" i="17"/>
  <c r="W918" i="17"/>
  <c r="W917" i="17"/>
  <c r="W916" i="17"/>
  <c r="W915" i="17"/>
  <c r="W914" i="17"/>
  <c r="W913" i="17"/>
  <c r="W912" i="17"/>
  <c r="W911" i="17"/>
  <c r="W910" i="17"/>
  <c r="W909" i="17"/>
  <c r="W908" i="17"/>
  <c r="W907" i="17"/>
  <c r="W906" i="17"/>
  <c r="W905" i="17"/>
  <c r="W904" i="17"/>
  <c r="W903" i="17"/>
  <c r="W902" i="17"/>
  <c r="W901" i="17"/>
  <c r="W900" i="17"/>
  <c r="W899" i="17"/>
  <c r="W898" i="17"/>
  <c r="W897" i="17"/>
  <c r="W896" i="17"/>
  <c r="W895" i="17"/>
  <c r="W894" i="17"/>
  <c r="W893" i="17"/>
  <c r="W892" i="17"/>
  <c r="W891" i="17"/>
  <c r="W890" i="17"/>
  <c r="W889" i="17"/>
  <c r="W888" i="17"/>
  <c r="W887" i="17"/>
  <c r="W886" i="17"/>
  <c r="W885" i="17"/>
  <c r="W884" i="17"/>
  <c r="W883" i="17"/>
  <c r="W882" i="17"/>
  <c r="W881" i="17"/>
  <c r="W880" i="17"/>
  <c r="W879" i="17"/>
  <c r="W878" i="17"/>
  <c r="W877" i="17"/>
  <c r="W876" i="17"/>
  <c r="W875" i="17"/>
  <c r="W874" i="17"/>
  <c r="W873" i="17"/>
  <c r="W872" i="17"/>
  <c r="W871" i="17"/>
  <c r="W870" i="17"/>
  <c r="W869" i="17"/>
  <c r="W868" i="17"/>
  <c r="W867" i="17"/>
  <c r="W866" i="17"/>
  <c r="W865" i="17"/>
  <c r="W864" i="17"/>
  <c r="W863" i="17"/>
  <c r="W862" i="17"/>
  <c r="W861" i="17"/>
  <c r="W860" i="17"/>
  <c r="W859" i="17"/>
  <c r="W858" i="17"/>
  <c r="W857" i="17"/>
  <c r="W856" i="17"/>
  <c r="W855" i="17"/>
  <c r="W854" i="17"/>
  <c r="W853" i="17"/>
  <c r="W852" i="17"/>
  <c r="W851" i="17"/>
  <c r="W850" i="17"/>
  <c r="W849" i="17"/>
  <c r="W848" i="17"/>
  <c r="W847" i="17"/>
  <c r="W846" i="17"/>
  <c r="W845" i="17"/>
  <c r="W844" i="17"/>
  <c r="W843" i="17"/>
  <c r="W842" i="17"/>
  <c r="W841" i="17"/>
  <c r="W840" i="17"/>
  <c r="W839" i="17"/>
  <c r="W838" i="17"/>
  <c r="W837" i="17"/>
  <c r="W836" i="17"/>
  <c r="W835" i="17"/>
  <c r="W834" i="17"/>
  <c r="W833" i="17"/>
  <c r="W832" i="17"/>
  <c r="W831" i="17"/>
  <c r="W830" i="17"/>
  <c r="W829" i="17"/>
  <c r="W828" i="17"/>
  <c r="W827" i="17"/>
  <c r="W826" i="17"/>
  <c r="W825" i="17"/>
  <c r="W824" i="17"/>
  <c r="W823" i="17"/>
  <c r="W822" i="17"/>
  <c r="W821" i="17"/>
  <c r="W820" i="17"/>
  <c r="W819" i="17"/>
  <c r="W818" i="17"/>
  <c r="W817" i="17"/>
  <c r="W816" i="17"/>
  <c r="W815" i="17"/>
  <c r="W814" i="17"/>
  <c r="W813" i="17"/>
  <c r="W812" i="17"/>
  <c r="W811" i="17"/>
  <c r="W810" i="17"/>
  <c r="W809" i="17"/>
  <c r="W808" i="17"/>
  <c r="W807" i="17"/>
  <c r="W806" i="17"/>
  <c r="W805" i="17"/>
  <c r="W804" i="17"/>
  <c r="W803" i="17"/>
  <c r="W802" i="17"/>
  <c r="W801" i="17"/>
  <c r="W800" i="17"/>
  <c r="W799" i="17"/>
  <c r="W798" i="17"/>
  <c r="W797" i="17"/>
  <c r="W796" i="17"/>
  <c r="W795" i="17"/>
  <c r="W794" i="17"/>
  <c r="W793" i="17"/>
  <c r="W792" i="17"/>
  <c r="W791" i="17"/>
  <c r="W790" i="17"/>
  <c r="W789" i="17"/>
  <c r="W788" i="17"/>
  <c r="W787" i="17"/>
  <c r="W786" i="17"/>
  <c r="W785" i="17"/>
  <c r="W784" i="17"/>
  <c r="W783" i="17"/>
  <c r="W782" i="17"/>
  <c r="W781" i="17"/>
  <c r="W780" i="17"/>
  <c r="W779" i="17"/>
  <c r="W778" i="17"/>
  <c r="W777" i="17"/>
  <c r="W776" i="17"/>
  <c r="W775" i="17"/>
  <c r="W774" i="17"/>
  <c r="W773" i="17"/>
  <c r="W772" i="17"/>
  <c r="W771" i="17"/>
  <c r="W770" i="17"/>
  <c r="W769" i="17"/>
  <c r="W768" i="17"/>
  <c r="W767" i="17"/>
  <c r="W766" i="17"/>
  <c r="W765" i="17"/>
  <c r="W764" i="17"/>
  <c r="W763" i="17"/>
  <c r="W762" i="17"/>
  <c r="W761" i="17"/>
  <c r="W760" i="17"/>
  <c r="W759" i="17"/>
  <c r="W758" i="17"/>
  <c r="W757" i="17"/>
  <c r="W756" i="17"/>
  <c r="W755" i="17"/>
  <c r="W754" i="17"/>
  <c r="W753" i="17"/>
  <c r="W752" i="17"/>
  <c r="W751" i="17"/>
  <c r="W750" i="17"/>
  <c r="W749" i="17"/>
  <c r="W748" i="17"/>
  <c r="W747" i="17"/>
  <c r="W746" i="17"/>
  <c r="W745" i="17"/>
  <c r="W744" i="17"/>
  <c r="W743" i="17"/>
  <c r="W742" i="17"/>
  <c r="W741" i="17"/>
  <c r="W740" i="17"/>
  <c r="W739" i="17"/>
  <c r="W738" i="17"/>
  <c r="W737" i="17"/>
  <c r="W736" i="17"/>
  <c r="W735" i="17"/>
  <c r="W734" i="17"/>
  <c r="W733" i="17"/>
  <c r="W732" i="17"/>
  <c r="W731" i="17"/>
  <c r="W730" i="17"/>
  <c r="W729" i="17"/>
  <c r="W728" i="17"/>
  <c r="W727" i="17"/>
  <c r="W726" i="17"/>
  <c r="W725" i="17"/>
  <c r="W724" i="17"/>
  <c r="W723" i="17"/>
  <c r="W722" i="17"/>
  <c r="W721" i="17"/>
  <c r="W720" i="17"/>
  <c r="W719" i="17"/>
  <c r="W718" i="17"/>
  <c r="W717" i="17"/>
  <c r="W716" i="17"/>
  <c r="W715" i="17"/>
  <c r="W714" i="17"/>
  <c r="W713" i="17"/>
  <c r="W712" i="17"/>
  <c r="W711" i="17"/>
  <c r="W710" i="17"/>
  <c r="W709" i="17"/>
  <c r="W708" i="17"/>
  <c r="W707" i="17"/>
  <c r="W706" i="17"/>
  <c r="W705" i="17"/>
  <c r="W704" i="17"/>
  <c r="W703" i="17"/>
  <c r="W702" i="17"/>
  <c r="W701" i="17"/>
  <c r="W700" i="17"/>
  <c r="W699" i="17"/>
  <c r="W698" i="17"/>
  <c r="W697" i="17"/>
  <c r="W696" i="17"/>
  <c r="W695" i="17"/>
  <c r="W694" i="17"/>
  <c r="W693" i="17"/>
  <c r="W692" i="17"/>
  <c r="W691" i="17"/>
  <c r="W690" i="17"/>
  <c r="W689" i="17"/>
  <c r="W688" i="17"/>
  <c r="W687" i="17"/>
  <c r="W686" i="17"/>
  <c r="W685" i="17"/>
  <c r="W684" i="17"/>
  <c r="W683" i="17"/>
  <c r="W682" i="17"/>
  <c r="W681" i="17"/>
  <c r="W680" i="17"/>
  <c r="W679" i="17"/>
  <c r="W678" i="17"/>
  <c r="W677" i="17"/>
  <c r="W676" i="17"/>
  <c r="W675" i="17"/>
  <c r="W674" i="17"/>
  <c r="W673" i="17"/>
  <c r="W672" i="17"/>
  <c r="W671" i="17"/>
  <c r="W670" i="17"/>
  <c r="W669" i="17"/>
  <c r="W668" i="17"/>
  <c r="W667" i="17"/>
  <c r="W666" i="17"/>
  <c r="W665" i="17"/>
  <c r="W664" i="17"/>
  <c r="W663" i="17"/>
  <c r="W662" i="17"/>
  <c r="W661" i="17"/>
  <c r="W660" i="17"/>
  <c r="W659" i="17"/>
  <c r="W658" i="17"/>
  <c r="W657" i="17"/>
  <c r="W656" i="17"/>
  <c r="W655" i="17"/>
  <c r="W654" i="17"/>
  <c r="W653" i="17"/>
  <c r="W652" i="17"/>
  <c r="W651" i="17"/>
  <c r="W650" i="17"/>
  <c r="W649" i="17"/>
  <c r="W648" i="17"/>
  <c r="W647" i="17"/>
  <c r="W646" i="17"/>
  <c r="W645" i="17"/>
  <c r="W644" i="17"/>
  <c r="W643" i="17"/>
  <c r="W642" i="17"/>
  <c r="W641" i="17"/>
  <c r="W640" i="17"/>
  <c r="W639" i="17"/>
  <c r="W638" i="17"/>
  <c r="W637" i="17"/>
  <c r="W636" i="17"/>
  <c r="W635" i="17"/>
  <c r="W634" i="17"/>
  <c r="W633" i="17"/>
  <c r="W632" i="17"/>
  <c r="W631" i="17"/>
  <c r="W630" i="17"/>
  <c r="W629" i="17"/>
  <c r="W628" i="17"/>
  <c r="W627" i="17"/>
  <c r="W626" i="17"/>
  <c r="W625" i="17"/>
  <c r="W624" i="17"/>
  <c r="W623" i="17"/>
  <c r="W622" i="17"/>
  <c r="W621" i="17"/>
  <c r="W620" i="17"/>
  <c r="W619" i="17"/>
  <c r="W618" i="17"/>
  <c r="W617" i="17"/>
  <c r="W616" i="17"/>
  <c r="W615" i="17"/>
  <c r="W614" i="17"/>
  <c r="W613" i="17"/>
  <c r="W612" i="17"/>
  <c r="W611" i="17"/>
  <c r="W610" i="17"/>
  <c r="W609" i="17"/>
  <c r="W608" i="17"/>
  <c r="W607" i="17"/>
  <c r="W606" i="17"/>
  <c r="W605" i="17"/>
  <c r="W604" i="17"/>
  <c r="W603" i="17"/>
  <c r="W602" i="17"/>
  <c r="W601" i="17"/>
  <c r="W600" i="17"/>
  <c r="W599" i="17"/>
  <c r="W598" i="17"/>
  <c r="W597" i="17"/>
  <c r="W596" i="17"/>
  <c r="W595" i="17"/>
  <c r="W594" i="17"/>
  <c r="W593" i="17"/>
  <c r="W592" i="17"/>
  <c r="W591" i="17"/>
  <c r="W590" i="17"/>
  <c r="W589" i="17"/>
  <c r="W588" i="17"/>
  <c r="W587" i="17"/>
  <c r="W586" i="17"/>
  <c r="W585" i="17"/>
  <c r="W584" i="17"/>
  <c r="W583" i="17"/>
  <c r="W582" i="17"/>
  <c r="W581" i="17"/>
  <c r="W580" i="17"/>
  <c r="W579" i="17"/>
  <c r="W578" i="17"/>
  <c r="W577" i="17"/>
  <c r="W576" i="17"/>
  <c r="W575" i="17"/>
  <c r="W574" i="17"/>
  <c r="W573" i="17"/>
  <c r="W572" i="17"/>
  <c r="W571" i="17"/>
  <c r="W570" i="17"/>
  <c r="W569" i="17"/>
  <c r="W568" i="17"/>
  <c r="W567" i="17"/>
  <c r="W566" i="17"/>
  <c r="W565" i="17"/>
  <c r="W564" i="17"/>
  <c r="W563" i="17"/>
  <c r="W562" i="17"/>
  <c r="W561" i="17"/>
  <c r="W560" i="17"/>
  <c r="W559" i="17"/>
  <c r="W558" i="17"/>
  <c r="W557" i="17"/>
  <c r="W556" i="17"/>
  <c r="W555" i="17"/>
  <c r="W554" i="17"/>
  <c r="W553" i="17"/>
  <c r="W552" i="17"/>
  <c r="W551" i="17"/>
  <c r="W550" i="17"/>
  <c r="W549" i="17"/>
  <c r="W548" i="17"/>
  <c r="W547" i="17"/>
  <c r="W546" i="17"/>
  <c r="W545" i="17"/>
  <c r="W544" i="17"/>
  <c r="W543" i="17"/>
  <c r="W542" i="17"/>
  <c r="W541" i="17"/>
  <c r="W540" i="17"/>
  <c r="W539" i="17"/>
  <c r="W538" i="17"/>
  <c r="W537" i="17"/>
  <c r="W536" i="17"/>
  <c r="W535" i="17"/>
  <c r="W534" i="17"/>
  <c r="W533" i="17"/>
  <c r="W532" i="17"/>
  <c r="W531" i="17"/>
  <c r="W530" i="17"/>
  <c r="W529" i="17"/>
  <c r="W528" i="17"/>
  <c r="W527" i="17"/>
  <c r="W526" i="17"/>
  <c r="W525" i="17"/>
  <c r="W524" i="17"/>
  <c r="W523" i="17"/>
  <c r="W522" i="17"/>
  <c r="W521" i="17"/>
  <c r="W520" i="17"/>
  <c r="W519" i="17"/>
  <c r="W518" i="17"/>
  <c r="W517" i="17"/>
  <c r="W516" i="17"/>
  <c r="W515" i="17"/>
  <c r="W514" i="17"/>
  <c r="W513" i="17"/>
  <c r="W512" i="17"/>
  <c r="W511" i="17"/>
  <c r="W510" i="17"/>
  <c r="W509" i="17"/>
  <c r="W508" i="17"/>
  <c r="W507" i="17"/>
  <c r="W506" i="17"/>
  <c r="W505" i="17"/>
  <c r="W504" i="17"/>
  <c r="W503" i="17"/>
  <c r="W502" i="17"/>
  <c r="W501" i="17"/>
  <c r="W500" i="17"/>
  <c r="W499" i="17"/>
  <c r="W498" i="17"/>
  <c r="W497" i="17"/>
  <c r="W496" i="17"/>
  <c r="W495" i="17"/>
  <c r="W494" i="17"/>
  <c r="W493" i="17"/>
  <c r="W492" i="17"/>
  <c r="W491" i="17"/>
  <c r="W490" i="17"/>
  <c r="W489" i="17"/>
  <c r="W488" i="17"/>
  <c r="W487" i="17"/>
  <c r="W486" i="17"/>
  <c r="W485" i="17"/>
  <c r="W484" i="17"/>
  <c r="W483" i="17"/>
  <c r="W482" i="17"/>
  <c r="W481" i="17"/>
  <c r="W480" i="17"/>
  <c r="W479" i="17"/>
  <c r="W478" i="17"/>
  <c r="W477" i="17"/>
  <c r="W476" i="17"/>
  <c r="W475" i="17"/>
  <c r="W474" i="17"/>
  <c r="W473" i="17"/>
  <c r="W472" i="17"/>
  <c r="W471" i="17"/>
  <c r="W470" i="17"/>
  <c r="W469" i="17"/>
  <c r="W468" i="17"/>
  <c r="W467" i="17"/>
  <c r="W466" i="17"/>
  <c r="W465" i="17"/>
  <c r="W464" i="17"/>
  <c r="W463" i="17"/>
  <c r="W462" i="17"/>
  <c r="W461" i="17"/>
  <c r="W460" i="17"/>
  <c r="W459" i="17"/>
  <c r="W458" i="17"/>
  <c r="W457" i="17"/>
  <c r="W456" i="17"/>
  <c r="W455" i="17"/>
  <c r="W454" i="17"/>
  <c r="W453" i="17"/>
  <c r="W452" i="17"/>
  <c r="W451" i="17"/>
  <c r="W450" i="17"/>
  <c r="W449" i="17"/>
  <c r="W448" i="17"/>
  <c r="W447" i="17"/>
  <c r="W446" i="17"/>
  <c r="W445" i="17"/>
  <c r="W444" i="17"/>
  <c r="W443" i="17"/>
  <c r="W442" i="17"/>
  <c r="W441" i="17"/>
  <c r="W440" i="17"/>
  <c r="W439" i="17"/>
  <c r="W438" i="17"/>
  <c r="W437" i="17"/>
  <c r="W436" i="17"/>
  <c r="W435" i="17"/>
  <c r="W434" i="17"/>
  <c r="W433" i="17"/>
  <c r="W432" i="17"/>
  <c r="W431" i="17"/>
  <c r="W430" i="17"/>
  <c r="W429" i="17"/>
  <c r="W428" i="17"/>
  <c r="W427" i="17"/>
  <c r="W426" i="17"/>
  <c r="W425" i="17"/>
  <c r="W424" i="17"/>
  <c r="W423" i="17"/>
  <c r="W422" i="17"/>
  <c r="W421" i="17"/>
  <c r="W420" i="17"/>
  <c r="W419" i="17"/>
  <c r="W418" i="17"/>
  <c r="W417" i="17"/>
  <c r="W416" i="17"/>
  <c r="W415" i="17"/>
  <c r="W414" i="17"/>
  <c r="W413" i="17"/>
  <c r="W412" i="17"/>
  <c r="W411" i="17"/>
  <c r="W410" i="17"/>
  <c r="W409" i="17"/>
  <c r="W408" i="17"/>
  <c r="W407" i="17"/>
  <c r="W406" i="17"/>
  <c r="W405" i="17"/>
  <c r="W404" i="17"/>
  <c r="W403" i="17"/>
  <c r="W402" i="17"/>
  <c r="W401" i="17"/>
  <c r="W400" i="17"/>
  <c r="W399" i="17"/>
  <c r="W398" i="17"/>
  <c r="W397" i="17"/>
  <c r="W396" i="17"/>
  <c r="W395" i="17"/>
  <c r="W394" i="17"/>
  <c r="W393" i="17"/>
  <c r="W392" i="17"/>
  <c r="W391" i="17"/>
  <c r="W390" i="17"/>
  <c r="W389" i="17"/>
  <c r="W388" i="17"/>
  <c r="W387" i="17"/>
  <c r="W386" i="17"/>
  <c r="W385" i="17"/>
  <c r="W384" i="17"/>
  <c r="W383" i="17"/>
  <c r="W382" i="17"/>
  <c r="W381" i="17"/>
  <c r="W380" i="17"/>
  <c r="W379" i="17"/>
  <c r="W378" i="17"/>
  <c r="W377" i="17"/>
  <c r="W376" i="17"/>
  <c r="W375" i="17"/>
  <c r="W374" i="17"/>
  <c r="W373" i="17"/>
  <c r="W372" i="17"/>
  <c r="W371" i="17"/>
  <c r="W370" i="17"/>
  <c r="W369" i="17"/>
  <c r="W368" i="17"/>
  <c r="W367" i="17"/>
  <c r="W366" i="17"/>
  <c r="W365" i="17"/>
  <c r="W364" i="17"/>
  <c r="W363" i="17"/>
  <c r="W362" i="17"/>
  <c r="W361" i="17"/>
  <c r="W360" i="17"/>
  <c r="W359" i="17"/>
  <c r="W358" i="17"/>
  <c r="W357" i="17"/>
  <c r="W356" i="17"/>
  <c r="W355" i="17"/>
  <c r="W354" i="17"/>
  <c r="W353" i="17"/>
  <c r="W352" i="17"/>
  <c r="W351" i="17"/>
  <c r="W350" i="17"/>
  <c r="W349" i="17"/>
  <c r="W348" i="17"/>
  <c r="W347" i="17"/>
  <c r="W346" i="17"/>
  <c r="W345" i="17"/>
  <c r="W344" i="17"/>
  <c r="W343" i="17"/>
  <c r="W342" i="17"/>
  <c r="W341" i="17"/>
  <c r="W340" i="17"/>
  <c r="W339" i="17"/>
  <c r="W338" i="17"/>
  <c r="W337" i="17"/>
  <c r="W336" i="17"/>
  <c r="W335" i="17"/>
  <c r="W334" i="17"/>
  <c r="W333" i="17"/>
  <c r="W332" i="17"/>
  <c r="F5" i="18" s="1"/>
  <c r="W331" i="17"/>
  <c r="W330" i="17"/>
  <c r="W329" i="17"/>
  <c r="W328" i="17"/>
  <c r="W327" i="17"/>
  <c r="W326" i="17"/>
  <c r="W325" i="17"/>
  <c r="W324" i="17"/>
  <c r="W323" i="17"/>
  <c r="W322" i="17"/>
  <c r="W321" i="17"/>
  <c r="W320" i="17"/>
  <c r="W319" i="17"/>
  <c r="W318" i="17"/>
  <c r="W317" i="17"/>
  <c r="W316" i="17"/>
  <c r="W315" i="17"/>
  <c r="W314" i="17"/>
  <c r="W313" i="17"/>
  <c r="W312" i="17"/>
  <c r="W311" i="17"/>
  <c r="W310" i="17"/>
  <c r="W309" i="17"/>
  <c r="W308" i="17"/>
  <c r="W307" i="17"/>
  <c r="W306" i="17"/>
  <c r="W305" i="17"/>
  <c r="W304" i="17"/>
  <c r="W303" i="17"/>
  <c r="W302" i="17"/>
  <c r="W301" i="17"/>
  <c r="W300" i="17"/>
  <c r="W299" i="17"/>
  <c r="W298" i="17"/>
  <c r="W297" i="17"/>
  <c r="W296" i="17"/>
  <c r="W295" i="17"/>
  <c r="W294" i="17"/>
  <c r="W293" i="17"/>
  <c r="W292" i="17"/>
  <c r="W291" i="17"/>
  <c r="W290" i="17"/>
  <c r="W289" i="17"/>
  <c r="W288" i="17"/>
  <c r="W287" i="17"/>
  <c r="W286" i="17"/>
  <c r="W285" i="17"/>
  <c r="W284" i="17"/>
  <c r="W283" i="17"/>
  <c r="W282" i="17"/>
  <c r="W281" i="17"/>
  <c r="W280" i="17"/>
  <c r="W279" i="17"/>
  <c r="W278" i="17"/>
  <c r="W277" i="17"/>
  <c r="W276" i="17"/>
  <c r="W275" i="17"/>
  <c r="W274" i="17"/>
  <c r="W273" i="17"/>
  <c r="W272" i="17"/>
  <c r="W271" i="17"/>
  <c r="W270" i="17"/>
  <c r="W269" i="17"/>
  <c r="W268" i="17"/>
  <c r="W267" i="17"/>
  <c r="W266" i="17"/>
  <c r="W265" i="17"/>
  <c r="W264" i="17"/>
  <c r="W263" i="17"/>
  <c r="W262" i="17"/>
  <c r="W261" i="17"/>
  <c r="W260" i="17"/>
  <c r="W259" i="17"/>
  <c r="W258" i="17"/>
  <c r="W257" i="17"/>
  <c r="W256" i="17"/>
  <c r="W255" i="17"/>
  <c r="W254" i="17"/>
  <c r="W253" i="17"/>
  <c r="W252" i="17"/>
  <c r="W251" i="17"/>
  <c r="W250" i="17"/>
  <c r="W249" i="17"/>
  <c r="W248" i="17"/>
  <c r="W247" i="17"/>
  <c r="W246" i="17"/>
  <c r="W245" i="17"/>
  <c r="W244" i="17"/>
  <c r="W243" i="17"/>
  <c r="W242" i="17"/>
  <c r="W241" i="17"/>
  <c r="W240" i="17"/>
  <c r="W239" i="17"/>
  <c r="W238" i="17"/>
  <c r="W237" i="17"/>
  <c r="W236" i="17"/>
  <c r="W235" i="17"/>
  <c r="W234" i="17"/>
  <c r="W233" i="17"/>
  <c r="W232" i="17"/>
  <c r="W231" i="17"/>
  <c r="W230" i="17"/>
  <c r="W229" i="17"/>
  <c r="W228" i="17"/>
  <c r="W227" i="17"/>
  <c r="W226" i="17"/>
  <c r="W225" i="17"/>
  <c r="W224" i="17"/>
  <c r="W223" i="17"/>
  <c r="W222" i="17"/>
  <c r="W221" i="17"/>
  <c r="W220" i="17"/>
  <c r="W219" i="17"/>
  <c r="W218" i="17"/>
  <c r="W217" i="17"/>
  <c r="W216" i="17"/>
  <c r="W215" i="17"/>
  <c r="W214" i="17"/>
  <c r="W213" i="17"/>
  <c r="W212" i="17"/>
  <c r="W211" i="17"/>
  <c r="W210" i="17"/>
  <c r="W209" i="17"/>
  <c r="W208" i="17"/>
  <c r="W207" i="17"/>
  <c r="W206" i="17"/>
  <c r="W205" i="17"/>
  <c r="W204" i="17"/>
  <c r="W203" i="17"/>
  <c r="W202" i="17"/>
  <c r="W201" i="17"/>
  <c r="W200" i="17"/>
  <c r="W199" i="17"/>
  <c r="W198" i="17"/>
  <c r="W197" i="17"/>
  <c r="W196" i="17"/>
  <c r="W195" i="17"/>
  <c r="W194" i="17"/>
  <c r="W193" i="17"/>
  <c r="W192" i="17"/>
  <c r="W191" i="17"/>
  <c r="W190" i="17"/>
  <c r="W189" i="17"/>
  <c r="W188" i="17"/>
  <c r="W187" i="17"/>
  <c r="W186" i="17"/>
  <c r="W185" i="17"/>
  <c r="W184" i="17"/>
  <c r="W183" i="17"/>
  <c r="W182" i="17"/>
  <c r="W181" i="17"/>
  <c r="W180" i="17"/>
  <c r="W179" i="17"/>
  <c r="W178" i="17"/>
  <c r="W177" i="17"/>
  <c r="W176" i="17"/>
  <c r="W175" i="17"/>
  <c r="W174" i="17"/>
  <c r="W173" i="17"/>
  <c r="W172" i="17"/>
  <c r="W171" i="17"/>
  <c r="W170" i="17"/>
  <c r="W169" i="17"/>
  <c r="W168" i="17"/>
  <c r="W167" i="17"/>
  <c r="W166" i="17"/>
  <c r="W165" i="17"/>
  <c r="W164" i="17"/>
  <c r="W163" i="17"/>
  <c r="W162" i="17"/>
  <c r="W161" i="17"/>
  <c r="W160" i="17"/>
  <c r="W159" i="17"/>
  <c r="W158" i="17"/>
  <c r="W157" i="17"/>
  <c r="W156" i="17"/>
  <c r="W155" i="17"/>
  <c r="W154" i="17"/>
  <c r="W153" i="17"/>
  <c r="W152" i="17"/>
  <c r="W151" i="17"/>
  <c r="W150" i="17"/>
  <c r="W149" i="17"/>
  <c r="W148" i="17"/>
  <c r="W147" i="17"/>
  <c r="W146" i="17"/>
  <c r="W145" i="17"/>
  <c r="W144" i="17"/>
  <c r="W143" i="17"/>
  <c r="W142" i="17"/>
  <c r="W141" i="17"/>
  <c r="W140" i="17"/>
  <c r="W139" i="17"/>
  <c r="W138" i="17"/>
  <c r="W137" i="17"/>
  <c r="W136" i="17"/>
  <c r="W135" i="17"/>
  <c r="W134" i="17"/>
  <c r="W133" i="17"/>
  <c r="W132" i="17"/>
  <c r="W131" i="17"/>
  <c r="W130" i="17"/>
  <c r="W129" i="17"/>
  <c r="W128" i="17"/>
  <c r="W127" i="17"/>
  <c r="W126" i="17"/>
  <c r="W125" i="17"/>
  <c r="W124" i="17"/>
  <c r="W123" i="17"/>
  <c r="W122" i="17"/>
  <c r="W121" i="17"/>
  <c r="W120" i="17"/>
  <c r="W119" i="17"/>
  <c r="W118" i="17"/>
  <c r="W117" i="17"/>
  <c r="W116" i="17"/>
  <c r="W115" i="17"/>
  <c r="W114" i="17"/>
  <c r="W113" i="17"/>
  <c r="W112" i="17"/>
  <c r="W111" i="17"/>
  <c r="W110" i="17"/>
  <c r="W109" i="17"/>
  <c r="W108" i="17"/>
  <c r="W107" i="17"/>
  <c r="W106" i="17"/>
  <c r="W105" i="17"/>
  <c r="W104" i="17"/>
  <c r="W103" i="17"/>
  <c r="W102" i="17"/>
  <c r="W101" i="17"/>
  <c r="W100" i="17"/>
  <c r="W99" i="17"/>
  <c r="W98" i="17"/>
  <c r="W97" i="17"/>
  <c r="W96" i="17"/>
  <c r="W95" i="17"/>
  <c r="W94" i="17"/>
  <c r="W93" i="17"/>
  <c r="W92" i="17"/>
  <c r="W91" i="17"/>
  <c r="W90" i="17"/>
  <c r="W89" i="17"/>
  <c r="W88" i="17"/>
  <c r="W87" i="17"/>
  <c r="W86" i="17"/>
  <c r="W85" i="17"/>
  <c r="W84" i="17"/>
  <c r="W83" i="17"/>
  <c r="W82" i="17"/>
  <c r="W81" i="17"/>
  <c r="W80" i="17"/>
  <c r="W79" i="17"/>
  <c r="W78" i="17"/>
  <c r="W77" i="17"/>
  <c r="W76" i="17"/>
  <c r="W75" i="17"/>
  <c r="W74" i="17"/>
  <c r="W73" i="17"/>
  <c r="W72" i="17"/>
  <c r="W71" i="17"/>
  <c r="W70" i="17"/>
  <c r="W69" i="17"/>
  <c r="W68" i="17"/>
  <c r="W67" i="17"/>
  <c r="W66" i="17"/>
  <c r="W65" i="17"/>
  <c r="W64" i="17"/>
  <c r="W63" i="17"/>
  <c r="W62" i="17"/>
  <c r="W61" i="17"/>
  <c r="W60" i="17"/>
  <c r="W59" i="17"/>
  <c r="W58" i="17"/>
  <c r="W57" i="17"/>
  <c r="W56" i="17"/>
  <c r="W55" i="17"/>
  <c r="W54" i="17"/>
  <c r="W53" i="17"/>
  <c r="W52" i="17"/>
  <c r="W51" i="17"/>
  <c r="W50" i="17"/>
  <c r="W49" i="17"/>
  <c r="W48" i="17"/>
  <c r="W47" i="17"/>
  <c r="W46" i="17"/>
  <c r="W45" i="17"/>
  <c r="W44" i="17"/>
  <c r="W43" i="17"/>
  <c r="W42" i="17"/>
  <c r="W41" i="17"/>
  <c r="W40" i="17"/>
  <c r="W39" i="17"/>
  <c r="W38" i="17"/>
  <c r="W37" i="17"/>
  <c r="W36" i="17"/>
  <c r="W35" i="17"/>
  <c r="W34" i="17"/>
  <c r="W33" i="17"/>
  <c r="W32" i="17"/>
  <c r="W31" i="17"/>
  <c r="W30" i="17"/>
  <c r="W29" i="17"/>
  <c r="W28" i="17"/>
  <c r="W27" i="17"/>
  <c r="W26" i="17"/>
  <c r="W25" i="17"/>
  <c r="W24" i="17"/>
  <c r="W23" i="17"/>
  <c r="W22" i="17"/>
  <c r="W21" i="17"/>
  <c r="W20" i="17"/>
  <c r="W19" i="17"/>
  <c r="W18" i="17"/>
  <c r="W17" i="17"/>
  <c r="W16" i="17"/>
  <c r="W15" i="17"/>
  <c r="W14" i="17"/>
  <c r="W13" i="17"/>
  <c r="W12" i="17"/>
  <c r="W11" i="17"/>
  <c r="W10" i="17"/>
  <c r="W9" i="17"/>
  <c r="W8" i="17"/>
  <c r="W7" i="17"/>
  <c r="W6" i="17"/>
  <c r="A104" i="16"/>
  <c r="A103" i="16"/>
  <c r="A102" i="16"/>
  <c r="A101" i="16"/>
  <c r="A100" i="16"/>
  <c r="A99" i="16"/>
  <c r="A98" i="16"/>
  <c r="A97" i="16"/>
  <c r="A96" i="16"/>
  <c r="A95" i="16"/>
  <c r="A94" i="16"/>
  <c r="A93" i="16"/>
  <c r="A92" i="16"/>
  <c r="A91" i="16"/>
  <c r="A90" i="16"/>
  <c r="A89" i="16"/>
  <c r="A88" i="16"/>
  <c r="A87" i="16"/>
  <c r="A86" i="16"/>
  <c r="A85" i="16"/>
  <c r="A84" i="16"/>
  <c r="A83" i="16"/>
  <c r="A82" i="16"/>
  <c r="A81" i="16"/>
  <c r="A80" i="16"/>
  <c r="A79" i="16"/>
  <c r="A78" i="16"/>
  <c r="A77" i="16"/>
  <c r="A76" i="16"/>
  <c r="A75" i="16"/>
  <c r="A74" i="16"/>
  <c r="A73" i="16"/>
  <c r="A72" i="16"/>
  <c r="A71" i="16"/>
  <c r="A70" i="16"/>
  <c r="A69" i="16"/>
  <c r="A68" i="16"/>
  <c r="A67" i="16"/>
  <c r="A66" i="16"/>
  <c r="A65" i="16"/>
  <c r="A64" i="16"/>
  <c r="A63" i="16"/>
  <c r="A62" i="16"/>
  <c r="A61" i="16"/>
  <c r="A60" i="16"/>
  <c r="A59" i="16"/>
  <c r="A58" i="16"/>
  <c r="A57" i="16"/>
  <c r="A56" i="16"/>
  <c r="A55" i="16"/>
  <c r="A54" i="16"/>
  <c r="A53" i="16"/>
  <c r="A52" i="16"/>
  <c r="A51" i="16"/>
  <c r="A50" i="16"/>
  <c r="A49" i="16"/>
  <c r="A48" i="16"/>
  <c r="A47" i="16"/>
  <c r="A46" i="16"/>
  <c r="A45" i="16"/>
  <c r="A44" i="16"/>
  <c r="A43" i="16"/>
  <c r="A42" i="16"/>
  <c r="A41" i="16"/>
  <c r="A40" i="16"/>
  <c r="A39" i="16"/>
  <c r="A38" i="16"/>
  <c r="A37" i="16"/>
  <c r="A36" i="16"/>
  <c r="A35" i="16"/>
  <c r="A34" i="16"/>
  <c r="A33" i="16"/>
  <c r="A32" i="16"/>
  <c r="A31" i="16"/>
  <c r="A30" i="16"/>
  <c r="A29" i="16"/>
  <c r="A28" i="16"/>
  <c r="A27" i="16"/>
  <c r="A26" i="16"/>
  <c r="A25" i="16"/>
  <c r="A24" i="16"/>
  <c r="C24" i="16" s="1"/>
  <c r="A23" i="16"/>
  <c r="A22" i="16"/>
  <c r="A21" i="16"/>
  <c r="A20" i="16"/>
  <c r="A19" i="16"/>
  <c r="A18" i="16"/>
  <c r="A17" i="16"/>
  <c r="A16" i="16"/>
  <c r="A15" i="16"/>
  <c r="A14" i="16"/>
  <c r="E3" i="16"/>
  <c r="H205" i="15"/>
  <c r="D205" i="15"/>
  <c r="C205" i="15"/>
  <c r="H204" i="15"/>
  <c r="G204" i="15"/>
  <c r="F204" i="15"/>
  <c r="E204" i="15"/>
  <c r="D204" i="15"/>
  <c r="C204" i="15"/>
  <c r="H203" i="15"/>
  <c r="G203" i="15"/>
  <c r="F203" i="15"/>
  <c r="E203" i="15"/>
  <c r="D203" i="15"/>
  <c r="C203" i="15"/>
  <c r="H202" i="15"/>
  <c r="G202" i="15"/>
  <c r="F202" i="15"/>
  <c r="E202" i="15"/>
  <c r="D202" i="15"/>
  <c r="C202" i="15"/>
  <c r="H201" i="15"/>
  <c r="G201" i="15"/>
  <c r="F201" i="15"/>
  <c r="E201" i="15"/>
  <c r="D201" i="15"/>
  <c r="C201" i="15"/>
  <c r="H200" i="15"/>
  <c r="G200" i="15"/>
  <c r="F200" i="15"/>
  <c r="E200" i="15"/>
  <c r="D200" i="15"/>
  <c r="C200" i="15"/>
  <c r="H199" i="15"/>
  <c r="G199" i="15"/>
  <c r="F199" i="15"/>
  <c r="E199" i="15"/>
  <c r="D199" i="15"/>
  <c r="C199" i="15"/>
  <c r="H198" i="15"/>
  <c r="G198" i="15"/>
  <c r="F198" i="15"/>
  <c r="E198" i="15"/>
  <c r="D198" i="15"/>
  <c r="C198" i="15"/>
  <c r="H197" i="15"/>
  <c r="G197" i="15"/>
  <c r="F197" i="15"/>
  <c r="E197" i="15"/>
  <c r="D197" i="15"/>
  <c r="C197" i="15"/>
  <c r="H196" i="15"/>
  <c r="G196" i="15"/>
  <c r="F196" i="15"/>
  <c r="E196" i="15"/>
  <c r="D196" i="15"/>
  <c r="C196" i="15"/>
  <c r="H195" i="15"/>
  <c r="G195" i="15"/>
  <c r="F195" i="15"/>
  <c r="E195" i="15"/>
  <c r="D195" i="15"/>
  <c r="C195" i="15"/>
  <c r="H194" i="15"/>
  <c r="G194" i="15"/>
  <c r="F194" i="15"/>
  <c r="E194" i="15"/>
  <c r="D194" i="15"/>
  <c r="C194" i="15"/>
  <c r="H193" i="15"/>
  <c r="G193" i="15"/>
  <c r="F193" i="15"/>
  <c r="E193" i="15"/>
  <c r="D193" i="15"/>
  <c r="C193" i="15"/>
  <c r="H192" i="15"/>
  <c r="G192" i="15"/>
  <c r="F192" i="15"/>
  <c r="E192" i="15"/>
  <c r="D192" i="15"/>
  <c r="C192" i="15"/>
  <c r="H191" i="15"/>
  <c r="G191" i="15"/>
  <c r="F191" i="15"/>
  <c r="E191" i="15"/>
  <c r="D191" i="15"/>
  <c r="C191" i="15"/>
  <c r="H190" i="15"/>
  <c r="G190" i="15"/>
  <c r="F190" i="15"/>
  <c r="E190" i="15"/>
  <c r="D190" i="15"/>
  <c r="C190" i="15"/>
  <c r="H189" i="15"/>
  <c r="G189" i="15"/>
  <c r="F189" i="15"/>
  <c r="E189" i="15"/>
  <c r="D189" i="15"/>
  <c r="C189" i="15"/>
  <c r="H188" i="15"/>
  <c r="G188" i="15"/>
  <c r="F188" i="15"/>
  <c r="E188" i="15"/>
  <c r="D188" i="15"/>
  <c r="C188" i="15"/>
  <c r="H187" i="15"/>
  <c r="G187" i="15"/>
  <c r="F187" i="15"/>
  <c r="E187" i="15"/>
  <c r="D187" i="15"/>
  <c r="C187" i="15"/>
  <c r="H186" i="15"/>
  <c r="G186" i="15"/>
  <c r="F186" i="15"/>
  <c r="E186" i="15"/>
  <c r="D186" i="15"/>
  <c r="C186" i="15"/>
  <c r="H185" i="15"/>
  <c r="G185" i="15"/>
  <c r="F185" i="15"/>
  <c r="E185" i="15"/>
  <c r="D185" i="15"/>
  <c r="C185" i="15"/>
  <c r="H184" i="15"/>
  <c r="G184" i="15"/>
  <c r="F184" i="15"/>
  <c r="E184" i="15"/>
  <c r="D184" i="15"/>
  <c r="C184" i="15"/>
  <c r="H183" i="15"/>
  <c r="G183" i="15"/>
  <c r="F183" i="15"/>
  <c r="E183" i="15"/>
  <c r="D183" i="15"/>
  <c r="C183" i="15"/>
  <c r="H182" i="15"/>
  <c r="G182" i="15"/>
  <c r="F182" i="15"/>
  <c r="E182" i="15"/>
  <c r="D182" i="15"/>
  <c r="C182" i="15"/>
  <c r="H181" i="15"/>
  <c r="G181" i="15"/>
  <c r="F181" i="15"/>
  <c r="E181" i="15"/>
  <c r="D181" i="15"/>
  <c r="C181" i="15"/>
  <c r="H180" i="15"/>
  <c r="G180" i="15"/>
  <c r="F180" i="15"/>
  <c r="E180" i="15"/>
  <c r="D180" i="15"/>
  <c r="C180" i="15"/>
  <c r="H179" i="15"/>
  <c r="G179" i="15"/>
  <c r="F179" i="15"/>
  <c r="E179" i="15"/>
  <c r="D179" i="15"/>
  <c r="C179" i="15"/>
  <c r="H178" i="15"/>
  <c r="G178" i="15"/>
  <c r="F178" i="15"/>
  <c r="E178" i="15"/>
  <c r="D178" i="15"/>
  <c r="C178" i="15"/>
  <c r="H177" i="15"/>
  <c r="G177" i="15"/>
  <c r="F177" i="15"/>
  <c r="E177" i="15"/>
  <c r="D177" i="15"/>
  <c r="C177" i="15"/>
  <c r="H176" i="15"/>
  <c r="G176" i="15"/>
  <c r="F176" i="15"/>
  <c r="E176" i="15"/>
  <c r="D176" i="15"/>
  <c r="C176" i="15"/>
  <c r="H175" i="15"/>
  <c r="G175" i="15"/>
  <c r="F175" i="15"/>
  <c r="E175" i="15"/>
  <c r="D175" i="15"/>
  <c r="C175" i="15"/>
  <c r="H174" i="15"/>
  <c r="G174" i="15"/>
  <c r="F174" i="15"/>
  <c r="E174" i="15"/>
  <c r="D174" i="15"/>
  <c r="C174" i="15"/>
  <c r="H173" i="15"/>
  <c r="G173" i="15"/>
  <c r="F173" i="15"/>
  <c r="E173" i="15"/>
  <c r="D173" i="15"/>
  <c r="C173" i="15"/>
  <c r="H172" i="15"/>
  <c r="G172" i="15"/>
  <c r="F172" i="15"/>
  <c r="E172" i="15"/>
  <c r="D172" i="15"/>
  <c r="C172" i="15"/>
  <c r="H171" i="15"/>
  <c r="G171" i="15"/>
  <c r="F171" i="15"/>
  <c r="E171" i="15"/>
  <c r="D171" i="15"/>
  <c r="C171" i="15"/>
  <c r="H170" i="15"/>
  <c r="G170" i="15"/>
  <c r="F170" i="15"/>
  <c r="E170" i="15"/>
  <c r="D170" i="15"/>
  <c r="C170" i="15"/>
  <c r="H169" i="15"/>
  <c r="G169" i="15"/>
  <c r="F169" i="15"/>
  <c r="E169" i="15"/>
  <c r="D169" i="15"/>
  <c r="C169" i="15"/>
  <c r="H168" i="15"/>
  <c r="G168" i="15"/>
  <c r="F168" i="15"/>
  <c r="E168" i="15"/>
  <c r="D168" i="15"/>
  <c r="C168" i="15"/>
  <c r="H167" i="15"/>
  <c r="G167" i="15"/>
  <c r="F167" i="15"/>
  <c r="E167" i="15"/>
  <c r="D167" i="15"/>
  <c r="C167" i="15"/>
  <c r="H166" i="15"/>
  <c r="G166" i="15"/>
  <c r="F166" i="15"/>
  <c r="E166" i="15"/>
  <c r="D166" i="15"/>
  <c r="C166" i="15"/>
  <c r="H165" i="15"/>
  <c r="G165" i="15"/>
  <c r="F165" i="15"/>
  <c r="E165" i="15"/>
  <c r="D165" i="15"/>
  <c r="C165" i="15"/>
  <c r="H164" i="15"/>
  <c r="G164" i="15"/>
  <c r="F164" i="15"/>
  <c r="E164" i="15"/>
  <c r="D164" i="15"/>
  <c r="C164" i="15"/>
  <c r="H163" i="15"/>
  <c r="G163" i="15"/>
  <c r="F163" i="15"/>
  <c r="E163" i="15"/>
  <c r="D163" i="15"/>
  <c r="C163" i="15"/>
  <c r="H162" i="15"/>
  <c r="G162" i="15"/>
  <c r="F162" i="15"/>
  <c r="E162" i="15"/>
  <c r="D162" i="15"/>
  <c r="C162" i="15"/>
  <c r="H161" i="15"/>
  <c r="G161" i="15"/>
  <c r="F161" i="15"/>
  <c r="E161" i="15"/>
  <c r="D161" i="15"/>
  <c r="C161" i="15"/>
  <c r="H160" i="15"/>
  <c r="G160" i="15"/>
  <c r="F160" i="15"/>
  <c r="E160" i="15"/>
  <c r="D160" i="15"/>
  <c r="C160" i="15"/>
  <c r="H159" i="15"/>
  <c r="G159" i="15"/>
  <c r="F159" i="15"/>
  <c r="E159" i="15"/>
  <c r="D159" i="15"/>
  <c r="C159" i="15"/>
  <c r="H158" i="15"/>
  <c r="G158" i="15"/>
  <c r="F158" i="15"/>
  <c r="E158" i="15"/>
  <c r="D158" i="15"/>
  <c r="C158" i="15"/>
  <c r="H157" i="15"/>
  <c r="G157" i="15"/>
  <c r="F157" i="15"/>
  <c r="E157" i="15"/>
  <c r="D157" i="15"/>
  <c r="C157" i="15"/>
  <c r="H156" i="15"/>
  <c r="G156" i="15"/>
  <c r="F156" i="15"/>
  <c r="E156" i="15"/>
  <c r="D156" i="15"/>
  <c r="C156" i="15"/>
  <c r="H155" i="15"/>
  <c r="G155" i="15"/>
  <c r="F155" i="15"/>
  <c r="E155" i="15"/>
  <c r="D155" i="15"/>
  <c r="C155" i="15"/>
  <c r="H154" i="15"/>
  <c r="G154" i="15"/>
  <c r="F154" i="15"/>
  <c r="E154" i="15"/>
  <c r="D154" i="15"/>
  <c r="C154" i="15"/>
  <c r="H153" i="15"/>
  <c r="G153" i="15"/>
  <c r="F153" i="15"/>
  <c r="E153" i="15"/>
  <c r="D153" i="15"/>
  <c r="C153" i="15"/>
  <c r="H152" i="15"/>
  <c r="G152" i="15"/>
  <c r="F152" i="15"/>
  <c r="E152" i="15"/>
  <c r="D152" i="15"/>
  <c r="C152" i="15"/>
  <c r="H151" i="15"/>
  <c r="G151" i="15"/>
  <c r="F151" i="15"/>
  <c r="E151" i="15"/>
  <c r="D151" i="15"/>
  <c r="C151" i="15"/>
  <c r="H150" i="15"/>
  <c r="G150" i="15"/>
  <c r="F150" i="15"/>
  <c r="E150" i="15"/>
  <c r="D150" i="15"/>
  <c r="C150" i="15"/>
  <c r="H149" i="15"/>
  <c r="G149" i="15"/>
  <c r="F149" i="15"/>
  <c r="E149" i="15"/>
  <c r="D149" i="15"/>
  <c r="C149" i="15"/>
  <c r="H148" i="15"/>
  <c r="G148" i="15"/>
  <c r="F148" i="15"/>
  <c r="E148" i="15"/>
  <c r="D148" i="15"/>
  <c r="C148" i="15"/>
  <c r="H147" i="15"/>
  <c r="G147" i="15"/>
  <c r="F147" i="15"/>
  <c r="E147" i="15"/>
  <c r="D147" i="15"/>
  <c r="C147" i="15"/>
  <c r="H146" i="15"/>
  <c r="G146" i="15"/>
  <c r="F146" i="15"/>
  <c r="E146" i="15"/>
  <c r="D146" i="15"/>
  <c r="C146" i="15"/>
  <c r="H145" i="15"/>
  <c r="G145" i="15"/>
  <c r="F145" i="15"/>
  <c r="E145" i="15"/>
  <c r="D145" i="15"/>
  <c r="C145" i="15"/>
  <c r="H144" i="15"/>
  <c r="G144" i="15"/>
  <c r="F144" i="15"/>
  <c r="E144" i="15"/>
  <c r="D144" i="15"/>
  <c r="C144" i="15"/>
  <c r="H143" i="15"/>
  <c r="G143" i="15"/>
  <c r="F143" i="15"/>
  <c r="E143" i="15"/>
  <c r="D143" i="15"/>
  <c r="C143" i="15"/>
  <c r="H142" i="15"/>
  <c r="G142" i="15"/>
  <c r="F142" i="15"/>
  <c r="E142" i="15"/>
  <c r="D142" i="15"/>
  <c r="C142" i="15"/>
  <c r="H141" i="15"/>
  <c r="G141" i="15"/>
  <c r="F141" i="15"/>
  <c r="E141" i="15"/>
  <c r="D141" i="15"/>
  <c r="C141" i="15"/>
  <c r="H140" i="15"/>
  <c r="G140" i="15"/>
  <c r="F140" i="15"/>
  <c r="E140" i="15"/>
  <c r="D140" i="15"/>
  <c r="C140" i="15"/>
  <c r="H139" i="15"/>
  <c r="G139" i="15"/>
  <c r="F139" i="15"/>
  <c r="E139" i="15"/>
  <c r="D139" i="15"/>
  <c r="C139" i="15"/>
  <c r="H138" i="15"/>
  <c r="G138" i="15"/>
  <c r="F138" i="15"/>
  <c r="E138" i="15"/>
  <c r="D138" i="15"/>
  <c r="C138" i="15"/>
  <c r="H137" i="15"/>
  <c r="G137" i="15"/>
  <c r="F137" i="15"/>
  <c r="E137" i="15"/>
  <c r="D137" i="15"/>
  <c r="C137" i="15"/>
  <c r="H136" i="15"/>
  <c r="G136" i="15"/>
  <c r="F136" i="15"/>
  <c r="E136" i="15"/>
  <c r="D136" i="15"/>
  <c r="C136" i="15"/>
  <c r="H135" i="15"/>
  <c r="G135" i="15"/>
  <c r="F135" i="15"/>
  <c r="E135" i="15"/>
  <c r="D135" i="15"/>
  <c r="C135" i="15"/>
  <c r="H134" i="15"/>
  <c r="G134" i="15"/>
  <c r="F134" i="15"/>
  <c r="E134" i="15"/>
  <c r="D134" i="15"/>
  <c r="C134" i="15"/>
  <c r="H133" i="15"/>
  <c r="G133" i="15"/>
  <c r="F133" i="15"/>
  <c r="E133" i="15"/>
  <c r="D133" i="15"/>
  <c r="C133" i="15"/>
  <c r="H132" i="15"/>
  <c r="G132" i="15"/>
  <c r="F132" i="15"/>
  <c r="E132" i="15"/>
  <c r="D132" i="15"/>
  <c r="C132" i="15"/>
  <c r="H131" i="15"/>
  <c r="G131" i="15"/>
  <c r="F131" i="15"/>
  <c r="E131" i="15"/>
  <c r="D131" i="15"/>
  <c r="C131" i="15"/>
  <c r="H130" i="15"/>
  <c r="G130" i="15"/>
  <c r="F130" i="15"/>
  <c r="E130" i="15"/>
  <c r="D130" i="15"/>
  <c r="C130" i="15"/>
  <c r="H129" i="15"/>
  <c r="G129" i="15"/>
  <c r="F129" i="15"/>
  <c r="E129" i="15"/>
  <c r="D129" i="15"/>
  <c r="C129" i="15"/>
  <c r="H128" i="15"/>
  <c r="G128" i="15"/>
  <c r="F128" i="15"/>
  <c r="E128" i="15"/>
  <c r="D128" i="15"/>
  <c r="C128" i="15"/>
  <c r="H127" i="15"/>
  <c r="G127" i="15"/>
  <c r="F127" i="15"/>
  <c r="E127" i="15"/>
  <c r="D127" i="15"/>
  <c r="C127" i="15"/>
  <c r="H126" i="15"/>
  <c r="G126" i="15"/>
  <c r="F126" i="15"/>
  <c r="E126" i="15"/>
  <c r="D126" i="15"/>
  <c r="C126" i="15"/>
  <c r="H125" i="15"/>
  <c r="G125" i="15"/>
  <c r="F125" i="15"/>
  <c r="E125" i="15"/>
  <c r="D125" i="15"/>
  <c r="C125" i="15"/>
  <c r="H124" i="15"/>
  <c r="G124" i="15"/>
  <c r="F124" i="15"/>
  <c r="E124" i="15"/>
  <c r="D124" i="15"/>
  <c r="C124" i="15"/>
  <c r="H123" i="15"/>
  <c r="G123" i="15"/>
  <c r="F123" i="15"/>
  <c r="E123" i="15"/>
  <c r="D123" i="15"/>
  <c r="C123" i="15"/>
  <c r="H122" i="15"/>
  <c r="G122" i="15"/>
  <c r="F122" i="15"/>
  <c r="E122" i="15"/>
  <c r="D122" i="15"/>
  <c r="C122" i="15"/>
  <c r="H121" i="15"/>
  <c r="G121" i="15"/>
  <c r="F121" i="15"/>
  <c r="E121" i="15"/>
  <c r="D121" i="15"/>
  <c r="C121" i="15"/>
  <c r="H120" i="15"/>
  <c r="G120" i="15"/>
  <c r="F120" i="15"/>
  <c r="E120" i="15"/>
  <c r="D120" i="15"/>
  <c r="C120" i="15"/>
  <c r="H119" i="15"/>
  <c r="G119" i="15"/>
  <c r="F119" i="15"/>
  <c r="E119" i="15"/>
  <c r="D119" i="15"/>
  <c r="C119" i="15"/>
  <c r="H118" i="15"/>
  <c r="G118" i="15"/>
  <c r="F118" i="15"/>
  <c r="E118" i="15"/>
  <c r="D118" i="15"/>
  <c r="C118" i="15"/>
  <c r="H117" i="15"/>
  <c r="G117" i="15"/>
  <c r="F117" i="15"/>
  <c r="E117" i="15"/>
  <c r="D117" i="15"/>
  <c r="C117" i="15"/>
  <c r="H116" i="15"/>
  <c r="G116" i="15"/>
  <c r="F116" i="15"/>
  <c r="E116" i="15"/>
  <c r="D116" i="15"/>
  <c r="C116" i="15"/>
  <c r="H115" i="15"/>
  <c r="G115" i="15"/>
  <c r="F115" i="15"/>
  <c r="E115" i="15"/>
  <c r="D115" i="15"/>
  <c r="C115" i="15"/>
  <c r="H114" i="15"/>
  <c r="G114" i="15"/>
  <c r="F114" i="15"/>
  <c r="E114" i="15"/>
  <c r="D114" i="15"/>
  <c r="C114" i="15"/>
  <c r="H113" i="15"/>
  <c r="G113" i="15"/>
  <c r="F113" i="15"/>
  <c r="E113" i="15"/>
  <c r="D113" i="15"/>
  <c r="C113" i="15"/>
  <c r="H112" i="15"/>
  <c r="G112" i="15"/>
  <c r="F112" i="15"/>
  <c r="E112" i="15"/>
  <c r="D112" i="15"/>
  <c r="C112" i="15"/>
  <c r="H111" i="15"/>
  <c r="G111" i="15"/>
  <c r="F111" i="15"/>
  <c r="E111" i="15"/>
  <c r="D111" i="15"/>
  <c r="C111" i="15"/>
  <c r="H110" i="15"/>
  <c r="G110" i="15"/>
  <c r="F110" i="15"/>
  <c r="E110" i="15"/>
  <c r="D110" i="15"/>
  <c r="C110" i="15"/>
  <c r="H109" i="15"/>
  <c r="G109" i="15"/>
  <c r="F109" i="15"/>
  <c r="E109" i="15"/>
  <c r="D109" i="15"/>
  <c r="C109" i="15"/>
  <c r="H108" i="15"/>
  <c r="G108" i="15"/>
  <c r="F108" i="15"/>
  <c r="E108" i="15"/>
  <c r="D108" i="15"/>
  <c r="C108" i="15"/>
  <c r="H107" i="15"/>
  <c r="G107" i="15"/>
  <c r="F107" i="15"/>
  <c r="E107" i="15"/>
  <c r="D107" i="15"/>
  <c r="C107" i="15"/>
  <c r="H106" i="15"/>
  <c r="G106" i="15"/>
  <c r="F106" i="15"/>
  <c r="E106" i="15"/>
  <c r="D106" i="15"/>
  <c r="C106" i="15"/>
  <c r="H105" i="15"/>
  <c r="G105" i="15"/>
  <c r="F105" i="15"/>
  <c r="E105" i="15"/>
  <c r="D105" i="15"/>
  <c r="C105" i="15"/>
  <c r="H104" i="15"/>
  <c r="G104" i="15"/>
  <c r="F104" i="15"/>
  <c r="E104" i="15"/>
  <c r="D104" i="15"/>
  <c r="C104" i="15"/>
  <c r="H103" i="15"/>
  <c r="G103" i="15"/>
  <c r="F103" i="15"/>
  <c r="E103" i="15"/>
  <c r="D103" i="15"/>
  <c r="C103" i="15"/>
  <c r="H102" i="15"/>
  <c r="G102" i="15"/>
  <c r="F102" i="15"/>
  <c r="E102" i="15"/>
  <c r="D102" i="15"/>
  <c r="C102" i="15"/>
  <c r="H101" i="15"/>
  <c r="G101" i="15"/>
  <c r="F101" i="15"/>
  <c r="E101" i="15"/>
  <c r="D101" i="15"/>
  <c r="C101" i="15"/>
  <c r="H100" i="15"/>
  <c r="G100" i="15"/>
  <c r="F100" i="15"/>
  <c r="E100" i="15"/>
  <c r="D100" i="15"/>
  <c r="C100" i="15"/>
  <c r="H99" i="15"/>
  <c r="G99" i="15"/>
  <c r="F99" i="15"/>
  <c r="E99" i="15"/>
  <c r="D99" i="15"/>
  <c r="C99" i="15"/>
  <c r="H98" i="15"/>
  <c r="G98" i="15"/>
  <c r="F98" i="15"/>
  <c r="E98" i="15"/>
  <c r="D98" i="15"/>
  <c r="C98" i="15"/>
  <c r="H97" i="15"/>
  <c r="G97" i="15"/>
  <c r="F97" i="15"/>
  <c r="E97" i="15"/>
  <c r="D97" i="15"/>
  <c r="C97" i="15"/>
  <c r="H96" i="15"/>
  <c r="G96" i="15"/>
  <c r="F96" i="15"/>
  <c r="E96" i="15"/>
  <c r="D96" i="15"/>
  <c r="C96" i="15"/>
  <c r="H95" i="15"/>
  <c r="G95" i="15"/>
  <c r="F95" i="15"/>
  <c r="E95" i="15"/>
  <c r="D95" i="15"/>
  <c r="C95" i="15"/>
  <c r="H94" i="15"/>
  <c r="G94" i="15"/>
  <c r="F94" i="15"/>
  <c r="E94" i="15"/>
  <c r="D94" i="15"/>
  <c r="C94" i="15"/>
  <c r="H93" i="15"/>
  <c r="G93" i="15"/>
  <c r="F93" i="15"/>
  <c r="E93" i="15"/>
  <c r="D93" i="15"/>
  <c r="C93" i="15"/>
  <c r="H92" i="15"/>
  <c r="G92" i="15"/>
  <c r="F92" i="15"/>
  <c r="E92" i="15"/>
  <c r="D92" i="15"/>
  <c r="C92" i="15"/>
  <c r="H91" i="15"/>
  <c r="G91" i="15"/>
  <c r="F91" i="15"/>
  <c r="E91" i="15"/>
  <c r="D91" i="15"/>
  <c r="C91" i="15"/>
  <c r="H90" i="15"/>
  <c r="G90" i="15"/>
  <c r="F90" i="15"/>
  <c r="E90" i="15"/>
  <c r="D90" i="15"/>
  <c r="C90" i="15"/>
  <c r="H89" i="15"/>
  <c r="G89" i="15"/>
  <c r="F89" i="15"/>
  <c r="E89" i="15"/>
  <c r="D89" i="15"/>
  <c r="C89" i="15"/>
  <c r="H88" i="15"/>
  <c r="G88" i="15"/>
  <c r="F88" i="15"/>
  <c r="E88" i="15"/>
  <c r="D88" i="15"/>
  <c r="C88" i="15"/>
  <c r="H87" i="15"/>
  <c r="G87" i="15"/>
  <c r="F87" i="15"/>
  <c r="E87" i="15"/>
  <c r="D87" i="15"/>
  <c r="C87" i="15"/>
  <c r="H86" i="15"/>
  <c r="G86" i="15"/>
  <c r="F86" i="15"/>
  <c r="E86" i="15"/>
  <c r="D86" i="15"/>
  <c r="C86" i="15"/>
  <c r="H85" i="15"/>
  <c r="G85" i="15"/>
  <c r="F85" i="15"/>
  <c r="E85" i="15"/>
  <c r="D85" i="15"/>
  <c r="C85" i="15"/>
  <c r="H84" i="15"/>
  <c r="G84" i="15"/>
  <c r="F84" i="15"/>
  <c r="E84" i="15"/>
  <c r="D84" i="15"/>
  <c r="C84" i="15"/>
  <c r="H83" i="15"/>
  <c r="G83" i="15"/>
  <c r="F83" i="15"/>
  <c r="E83" i="15"/>
  <c r="D83" i="15"/>
  <c r="C83" i="15"/>
  <c r="H82" i="15"/>
  <c r="G82" i="15"/>
  <c r="F82" i="15"/>
  <c r="E82" i="15"/>
  <c r="D82" i="15"/>
  <c r="C82" i="15"/>
  <c r="H81" i="15"/>
  <c r="G81" i="15"/>
  <c r="F81" i="15"/>
  <c r="E81" i="15"/>
  <c r="D81" i="15"/>
  <c r="C81" i="15"/>
  <c r="H80" i="15"/>
  <c r="G80" i="15"/>
  <c r="F80" i="15"/>
  <c r="E80" i="15"/>
  <c r="D80" i="15"/>
  <c r="C80" i="15"/>
  <c r="H79" i="15"/>
  <c r="G79" i="15"/>
  <c r="F79" i="15"/>
  <c r="E79" i="15"/>
  <c r="D79" i="15"/>
  <c r="C79" i="15"/>
  <c r="H78" i="15"/>
  <c r="G78" i="15"/>
  <c r="F78" i="15"/>
  <c r="E78" i="15"/>
  <c r="D78" i="15"/>
  <c r="C78" i="15"/>
  <c r="H77" i="15"/>
  <c r="G77" i="15"/>
  <c r="F77" i="15"/>
  <c r="E77" i="15"/>
  <c r="D77" i="15"/>
  <c r="C77" i="15"/>
  <c r="H76" i="15"/>
  <c r="G76" i="15"/>
  <c r="F76" i="15"/>
  <c r="E76" i="15"/>
  <c r="D76" i="15"/>
  <c r="C76" i="15"/>
  <c r="H75" i="15"/>
  <c r="G75" i="15"/>
  <c r="F75" i="15"/>
  <c r="E75" i="15"/>
  <c r="D75" i="15"/>
  <c r="C75" i="15"/>
  <c r="H74" i="15"/>
  <c r="G74" i="15"/>
  <c r="F74" i="15"/>
  <c r="E74" i="15"/>
  <c r="D74" i="15"/>
  <c r="C74" i="15"/>
  <c r="H73" i="15"/>
  <c r="G73" i="15"/>
  <c r="F73" i="15"/>
  <c r="E73" i="15"/>
  <c r="D73" i="15"/>
  <c r="C73" i="15"/>
  <c r="H72" i="15"/>
  <c r="G72" i="15"/>
  <c r="F72" i="15"/>
  <c r="E72" i="15"/>
  <c r="D72" i="15"/>
  <c r="C72" i="15"/>
  <c r="H71" i="15"/>
  <c r="G71" i="15"/>
  <c r="F71" i="15"/>
  <c r="E71" i="15"/>
  <c r="D71" i="15"/>
  <c r="C71" i="15"/>
  <c r="H70" i="15"/>
  <c r="G70" i="15"/>
  <c r="F70" i="15"/>
  <c r="E70" i="15"/>
  <c r="D70" i="15"/>
  <c r="C70" i="15"/>
  <c r="H69" i="15"/>
  <c r="G69" i="15"/>
  <c r="F69" i="15"/>
  <c r="E69" i="15"/>
  <c r="D69" i="15"/>
  <c r="C69" i="15"/>
  <c r="H68" i="15"/>
  <c r="G68" i="15"/>
  <c r="F68" i="15"/>
  <c r="E68" i="15"/>
  <c r="D68" i="15"/>
  <c r="C68" i="15"/>
  <c r="H67" i="15"/>
  <c r="G67" i="15"/>
  <c r="F67" i="15"/>
  <c r="E67" i="15"/>
  <c r="D67" i="15"/>
  <c r="C67" i="15"/>
  <c r="H66" i="15"/>
  <c r="G66" i="15"/>
  <c r="F66" i="15"/>
  <c r="E66" i="15"/>
  <c r="D66" i="15"/>
  <c r="C66" i="15"/>
  <c r="H65" i="15"/>
  <c r="G65" i="15"/>
  <c r="F65" i="15"/>
  <c r="E65" i="15"/>
  <c r="D65" i="15"/>
  <c r="C65" i="15"/>
  <c r="H64" i="15"/>
  <c r="G64" i="15"/>
  <c r="F64" i="15"/>
  <c r="E64" i="15"/>
  <c r="D64" i="15"/>
  <c r="C64" i="15"/>
  <c r="H63" i="15"/>
  <c r="G63" i="15"/>
  <c r="F63" i="15"/>
  <c r="E63" i="15"/>
  <c r="D63" i="15"/>
  <c r="C63" i="15"/>
  <c r="H62" i="15"/>
  <c r="G62" i="15"/>
  <c r="F62" i="15"/>
  <c r="E62" i="15"/>
  <c r="D62" i="15"/>
  <c r="C62" i="15"/>
  <c r="H61" i="15"/>
  <c r="G61" i="15"/>
  <c r="F61" i="15"/>
  <c r="E61" i="15"/>
  <c r="D61" i="15"/>
  <c r="C61" i="15"/>
  <c r="H60" i="15"/>
  <c r="G60" i="15"/>
  <c r="F60" i="15"/>
  <c r="E60" i="15"/>
  <c r="D60" i="15"/>
  <c r="C60" i="15"/>
  <c r="H59" i="15"/>
  <c r="G59" i="15"/>
  <c r="F59" i="15"/>
  <c r="E59" i="15"/>
  <c r="D59" i="15"/>
  <c r="C59" i="15"/>
  <c r="H58" i="15"/>
  <c r="G58" i="15"/>
  <c r="F58" i="15"/>
  <c r="E58" i="15"/>
  <c r="D58" i="15"/>
  <c r="C58" i="15"/>
  <c r="H57" i="15"/>
  <c r="G57" i="15"/>
  <c r="F57" i="15"/>
  <c r="E57" i="15"/>
  <c r="D57" i="15"/>
  <c r="C57" i="15"/>
  <c r="H56" i="15"/>
  <c r="G56" i="15"/>
  <c r="F56" i="15"/>
  <c r="E56" i="15"/>
  <c r="D56" i="15"/>
  <c r="C56" i="15"/>
  <c r="H55" i="15"/>
  <c r="G55" i="15"/>
  <c r="F55" i="15"/>
  <c r="E55" i="15"/>
  <c r="D55" i="15"/>
  <c r="C55" i="15"/>
  <c r="H54" i="15"/>
  <c r="G54" i="15"/>
  <c r="F54" i="15"/>
  <c r="E54" i="15"/>
  <c r="D54" i="15"/>
  <c r="C54" i="15"/>
  <c r="H53" i="15"/>
  <c r="G53" i="15"/>
  <c r="F53" i="15"/>
  <c r="E53" i="15"/>
  <c r="D53" i="15"/>
  <c r="C53" i="15"/>
  <c r="H52" i="15"/>
  <c r="G52" i="15"/>
  <c r="F52" i="15"/>
  <c r="E52" i="15"/>
  <c r="D52" i="15"/>
  <c r="C52" i="15"/>
  <c r="H51" i="15"/>
  <c r="G51" i="15"/>
  <c r="F51" i="15"/>
  <c r="E51" i="15"/>
  <c r="D51" i="15"/>
  <c r="C51" i="15"/>
  <c r="H50" i="15"/>
  <c r="G50" i="15"/>
  <c r="F50" i="15"/>
  <c r="E50" i="15"/>
  <c r="D50" i="15"/>
  <c r="C50" i="15"/>
  <c r="H49" i="15"/>
  <c r="G49" i="15"/>
  <c r="F49" i="15"/>
  <c r="E49" i="15"/>
  <c r="D49" i="15"/>
  <c r="C49" i="15"/>
  <c r="H48" i="15"/>
  <c r="G48" i="15"/>
  <c r="F48" i="15"/>
  <c r="E48" i="15"/>
  <c r="D48" i="15"/>
  <c r="C48" i="15"/>
  <c r="H47" i="15"/>
  <c r="G47" i="15"/>
  <c r="F47" i="15"/>
  <c r="E47" i="15"/>
  <c r="D47" i="15"/>
  <c r="C47" i="15"/>
  <c r="H46" i="15"/>
  <c r="G46" i="15"/>
  <c r="F46" i="15"/>
  <c r="E46" i="15"/>
  <c r="D46" i="15"/>
  <c r="C46" i="15"/>
  <c r="H45" i="15"/>
  <c r="G45" i="15"/>
  <c r="F45" i="15"/>
  <c r="E45" i="15"/>
  <c r="D45" i="15"/>
  <c r="C45" i="15"/>
  <c r="H44" i="15"/>
  <c r="G44" i="15"/>
  <c r="F44" i="15"/>
  <c r="E44" i="15"/>
  <c r="D44" i="15"/>
  <c r="C44" i="15"/>
  <c r="H43" i="15"/>
  <c r="G43" i="15"/>
  <c r="F43" i="15"/>
  <c r="E43" i="15"/>
  <c r="D43" i="15"/>
  <c r="C43" i="15"/>
  <c r="H42" i="15"/>
  <c r="G42" i="15"/>
  <c r="F42" i="15"/>
  <c r="E42" i="15"/>
  <c r="D42" i="15"/>
  <c r="C42" i="15"/>
  <c r="H41" i="15"/>
  <c r="G41" i="15"/>
  <c r="F41" i="15"/>
  <c r="E41" i="15"/>
  <c r="D41" i="15"/>
  <c r="C41" i="15"/>
  <c r="H40" i="15"/>
  <c r="G40" i="15"/>
  <c r="F40" i="15"/>
  <c r="E40" i="15"/>
  <c r="D40" i="15"/>
  <c r="C40" i="15"/>
  <c r="H39" i="15"/>
  <c r="G39" i="15"/>
  <c r="F39" i="15"/>
  <c r="E39" i="15"/>
  <c r="D39" i="15"/>
  <c r="C39" i="15"/>
  <c r="H38" i="15"/>
  <c r="G38" i="15"/>
  <c r="F38" i="15"/>
  <c r="E38" i="15"/>
  <c r="D38" i="15"/>
  <c r="C38" i="15"/>
  <c r="H37" i="15"/>
  <c r="G37" i="15"/>
  <c r="F37" i="15"/>
  <c r="E37" i="15"/>
  <c r="D37" i="15"/>
  <c r="C37" i="15"/>
  <c r="H36" i="15"/>
  <c r="G36" i="15"/>
  <c r="F36" i="15"/>
  <c r="E36" i="15"/>
  <c r="D36" i="15"/>
  <c r="C36" i="15"/>
  <c r="H35" i="15"/>
  <c r="G35" i="15"/>
  <c r="F35" i="15"/>
  <c r="E35" i="15"/>
  <c r="D35" i="15"/>
  <c r="C35" i="15"/>
  <c r="H34" i="15"/>
  <c r="G34" i="15"/>
  <c r="F34" i="15"/>
  <c r="E34" i="15"/>
  <c r="D34" i="15"/>
  <c r="C34" i="15"/>
  <c r="H33" i="15"/>
  <c r="G33" i="15"/>
  <c r="F33" i="15"/>
  <c r="E33" i="15"/>
  <c r="D33" i="15"/>
  <c r="C33" i="15"/>
  <c r="H32" i="15"/>
  <c r="G32" i="15"/>
  <c r="F32" i="15"/>
  <c r="E32" i="15"/>
  <c r="D32" i="15"/>
  <c r="C32" i="15"/>
  <c r="H31" i="15"/>
  <c r="G31" i="15"/>
  <c r="F31" i="15"/>
  <c r="E31" i="15"/>
  <c r="D31" i="15"/>
  <c r="C31" i="15"/>
  <c r="H30" i="15"/>
  <c r="G30" i="15"/>
  <c r="F30" i="15"/>
  <c r="E30" i="15"/>
  <c r="D30" i="15"/>
  <c r="C30" i="15"/>
  <c r="H29" i="15"/>
  <c r="G29" i="15"/>
  <c r="F29" i="15"/>
  <c r="E29" i="15"/>
  <c r="D29" i="15"/>
  <c r="C29" i="15"/>
  <c r="H28" i="15"/>
  <c r="G28" i="15"/>
  <c r="F28" i="15"/>
  <c r="E28" i="15"/>
  <c r="D28" i="15"/>
  <c r="C28" i="15"/>
  <c r="H27" i="15"/>
  <c r="G27" i="15"/>
  <c r="F27" i="15"/>
  <c r="E27" i="15"/>
  <c r="D27" i="15"/>
  <c r="C27" i="15"/>
  <c r="H26" i="15"/>
  <c r="G26" i="15"/>
  <c r="F26" i="15"/>
  <c r="E26" i="15"/>
  <c r="D26" i="15"/>
  <c r="C26" i="15"/>
  <c r="H25" i="15"/>
  <c r="G25" i="15"/>
  <c r="F25" i="15"/>
  <c r="E25" i="15"/>
  <c r="D25" i="15"/>
  <c r="C25" i="15"/>
  <c r="H24" i="15"/>
  <c r="G24" i="15"/>
  <c r="F24" i="15"/>
  <c r="E24" i="15"/>
  <c r="D24" i="15"/>
  <c r="C24" i="15"/>
  <c r="H23" i="15"/>
  <c r="G23" i="15"/>
  <c r="F23" i="15"/>
  <c r="E23" i="15"/>
  <c r="D23" i="15"/>
  <c r="C23" i="15"/>
  <c r="H22" i="15"/>
  <c r="G22" i="15"/>
  <c r="F22" i="15"/>
  <c r="E22" i="15"/>
  <c r="D22" i="15"/>
  <c r="C22" i="15"/>
  <c r="H21" i="15"/>
  <c r="G21" i="15"/>
  <c r="F21" i="15"/>
  <c r="E21" i="15"/>
  <c r="D21" i="15"/>
  <c r="C21" i="15"/>
  <c r="H20" i="15"/>
  <c r="G20" i="15"/>
  <c r="F20" i="15"/>
  <c r="E20" i="15"/>
  <c r="D20" i="15"/>
  <c r="C20" i="15"/>
  <c r="H19" i="15"/>
  <c r="G19" i="15"/>
  <c r="F19" i="15"/>
  <c r="E19" i="15"/>
  <c r="D19" i="15"/>
  <c r="C19" i="15"/>
  <c r="H18" i="15"/>
  <c r="G18" i="15"/>
  <c r="F18" i="15"/>
  <c r="E18" i="15"/>
  <c r="D18" i="15"/>
  <c r="C18" i="15"/>
  <c r="H17" i="15"/>
  <c r="G17" i="15"/>
  <c r="F17" i="15"/>
  <c r="E17" i="15"/>
  <c r="D17" i="15"/>
  <c r="C17" i="15"/>
  <c r="H16" i="15"/>
  <c r="G16" i="15"/>
  <c r="F16" i="15"/>
  <c r="E16" i="15"/>
  <c r="D16" i="15"/>
  <c r="C16" i="15"/>
  <c r="H15" i="15"/>
  <c r="G15" i="15"/>
  <c r="D15" i="15"/>
  <c r="C15" i="15"/>
  <c r="H14" i="15"/>
  <c r="G14" i="15"/>
  <c r="D14" i="15"/>
  <c r="C14" i="15"/>
  <c r="H13" i="15"/>
  <c r="D13" i="15"/>
  <c r="C13" i="15"/>
  <c r="H12" i="15"/>
  <c r="D12" i="15"/>
  <c r="C12" i="15"/>
  <c r="H11" i="15"/>
  <c r="D11" i="15"/>
  <c r="C11" i="15"/>
  <c r="H10" i="15"/>
  <c r="D10" i="15"/>
  <c r="C10" i="15"/>
  <c r="H9" i="15"/>
  <c r="G9" i="15"/>
  <c r="D9" i="15"/>
  <c r="C9" i="15"/>
  <c r="H8" i="15"/>
  <c r="D8" i="15"/>
  <c r="C8" i="15"/>
  <c r="H7" i="15"/>
  <c r="D7" i="15"/>
  <c r="C7" i="15"/>
  <c r="H6" i="15"/>
  <c r="D6" i="15"/>
  <c r="C6" i="15"/>
  <c r="I29" i="14"/>
  <c r="H29" i="14"/>
  <c r="G29" i="14"/>
  <c r="F29" i="14"/>
  <c r="D29" i="14"/>
  <c r="J29" i="14" s="1"/>
  <c r="C29" i="14"/>
  <c r="I28" i="14"/>
  <c r="H28" i="14"/>
  <c r="G28" i="14"/>
  <c r="F28" i="14"/>
  <c r="D28" i="14"/>
  <c r="J28" i="14" s="1"/>
  <c r="C28" i="14"/>
  <c r="I27" i="14"/>
  <c r="H27" i="14"/>
  <c r="G27" i="14"/>
  <c r="F27" i="14"/>
  <c r="D27" i="14"/>
  <c r="J27" i="14" s="1"/>
  <c r="C27" i="14"/>
  <c r="I26" i="14"/>
  <c r="H26" i="14"/>
  <c r="G26" i="14"/>
  <c r="F26" i="14"/>
  <c r="D26" i="14"/>
  <c r="J26" i="14" s="1"/>
  <c r="C26" i="14"/>
  <c r="I25" i="14"/>
  <c r="H25" i="14"/>
  <c r="G25" i="14"/>
  <c r="F25" i="14"/>
  <c r="D25" i="14"/>
  <c r="J25" i="14" s="1"/>
  <c r="C25" i="14"/>
  <c r="I24" i="14"/>
  <c r="H24" i="14"/>
  <c r="G24" i="14"/>
  <c r="F24" i="14"/>
  <c r="D24" i="14"/>
  <c r="J24" i="14" s="1"/>
  <c r="C24" i="14"/>
  <c r="I23" i="14"/>
  <c r="H23" i="14"/>
  <c r="G23" i="14"/>
  <c r="F23" i="14"/>
  <c r="D23" i="14"/>
  <c r="J23" i="14" s="1"/>
  <c r="C23" i="14"/>
  <c r="I22" i="14"/>
  <c r="H22" i="14"/>
  <c r="G22" i="14"/>
  <c r="F22" i="14"/>
  <c r="D22" i="14"/>
  <c r="J22" i="14" s="1"/>
  <c r="C22" i="14"/>
  <c r="I21" i="14"/>
  <c r="H21" i="14"/>
  <c r="G21" i="14"/>
  <c r="F21" i="14"/>
  <c r="D21" i="14"/>
  <c r="J21" i="14" s="1"/>
  <c r="C21" i="14"/>
  <c r="I20" i="14"/>
  <c r="H20" i="14"/>
  <c r="G20" i="14"/>
  <c r="F20" i="14"/>
  <c r="D20" i="14"/>
  <c r="J20" i="14" s="1"/>
  <c r="C20" i="14"/>
  <c r="I19" i="14"/>
  <c r="H19" i="14"/>
  <c r="G19" i="14"/>
  <c r="F19" i="14"/>
  <c r="D19" i="14"/>
  <c r="J19" i="14" s="1"/>
  <c r="C19" i="14"/>
  <c r="I18" i="14"/>
  <c r="H18" i="14"/>
  <c r="G18" i="14"/>
  <c r="F18" i="14"/>
  <c r="D18" i="14"/>
  <c r="J18" i="14" s="1"/>
  <c r="C18" i="14"/>
  <c r="I17" i="14"/>
  <c r="H17" i="14"/>
  <c r="G17" i="14"/>
  <c r="F17" i="14"/>
  <c r="D17" i="14"/>
  <c r="J17" i="14" s="1"/>
  <c r="C17" i="14"/>
  <c r="I16" i="14"/>
  <c r="H16" i="14"/>
  <c r="G16" i="14"/>
  <c r="F16" i="14"/>
  <c r="D16" i="14"/>
  <c r="J16" i="14" s="1"/>
  <c r="C16" i="14"/>
  <c r="I15" i="14"/>
  <c r="H15" i="14"/>
  <c r="G15" i="14"/>
  <c r="F15" i="14"/>
  <c r="D15" i="14"/>
  <c r="J15" i="14" s="1"/>
  <c r="C15" i="14"/>
  <c r="I14" i="14"/>
  <c r="H14" i="14"/>
  <c r="G14" i="14"/>
  <c r="F14" i="14"/>
  <c r="D14" i="14"/>
  <c r="J14" i="14" s="1"/>
  <c r="C14" i="14"/>
  <c r="C13" i="14"/>
  <c r="C12" i="14"/>
  <c r="C11" i="14"/>
  <c r="I11" i="14" s="1"/>
  <c r="C10" i="14"/>
  <c r="I10" i="14" s="1"/>
  <c r="H5" i="14"/>
  <c r="AB57" i="13"/>
  <c r="D57" i="13"/>
  <c r="AB56" i="13"/>
  <c r="D56" i="13"/>
  <c r="AB55" i="13"/>
  <c r="D55" i="13"/>
  <c r="AB54" i="13"/>
  <c r="D54" i="13"/>
  <c r="AB53" i="13"/>
  <c r="D53" i="13"/>
  <c r="AB52" i="13"/>
  <c r="D52" i="13"/>
  <c r="AB51" i="13"/>
  <c r="D51" i="13"/>
  <c r="AB50" i="13"/>
  <c r="D50" i="13"/>
  <c r="AB49" i="13"/>
  <c r="D49" i="13"/>
  <c r="AB48" i="13"/>
  <c r="D48" i="13"/>
  <c r="AB47" i="13"/>
  <c r="D47" i="13"/>
  <c r="AB46" i="13"/>
  <c r="D46" i="13"/>
  <c r="AB45" i="13"/>
  <c r="D45" i="13"/>
  <c r="AB44" i="13"/>
  <c r="D44" i="13"/>
  <c r="AB43" i="13"/>
  <c r="D43" i="13"/>
  <c r="AB42" i="13"/>
  <c r="D42" i="13"/>
  <c r="AB41" i="13"/>
  <c r="D41" i="13"/>
  <c r="AB40" i="13"/>
  <c r="D40" i="13"/>
  <c r="AB39" i="13"/>
  <c r="D39" i="13"/>
  <c r="AB38" i="13"/>
  <c r="D38" i="13"/>
  <c r="AB37" i="13"/>
  <c r="D37" i="13"/>
  <c r="AB36" i="13"/>
  <c r="D36" i="13"/>
  <c r="AB35" i="13"/>
  <c r="D35" i="13"/>
  <c r="AB34" i="13"/>
  <c r="D34" i="13"/>
  <c r="AB33" i="13"/>
  <c r="D33" i="13"/>
  <c r="AB32" i="13"/>
  <c r="D32" i="13"/>
  <c r="AB31" i="13"/>
  <c r="D31" i="13"/>
  <c r="AB30" i="13"/>
  <c r="D30" i="13"/>
  <c r="AB29" i="13"/>
  <c r="D29" i="13"/>
  <c r="AB28" i="13"/>
  <c r="D28" i="13"/>
  <c r="AB27" i="13"/>
  <c r="D27" i="13"/>
  <c r="AB26" i="13"/>
  <c r="D26" i="13"/>
  <c r="AB25" i="13"/>
  <c r="D25" i="13"/>
  <c r="AB24" i="13"/>
  <c r="D24" i="13"/>
  <c r="AB23" i="13"/>
  <c r="D23" i="13"/>
  <c r="AB22" i="13"/>
  <c r="D22" i="13"/>
  <c r="AB21" i="13"/>
  <c r="D21" i="13"/>
  <c r="AB20" i="13"/>
  <c r="D20" i="13"/>
  <c r="AB19" i="13"/>
  <c r="D19" i="13"/>
  <c r="AB18" i="13"/>
  <c r="D18" i="13"/>
  <c r="AB17" i="13"/>
  <c r="D17" i="13"/>
  <c r="AB16" i="13"/>
  <c r="D16" i="13"/>
  <c r="AB15" i="13"/>
  <c r="D15" i="13"/>
  <c r="AB14" i="13"/>
  <c r="D14" i="13"/>
  <c r="AB13" i="13"/>
  <c r="D13" i="13"/>
  <c r="AB12" i="13"/>
  <c r="D12" i="13"/>
  <c r="AB11" i="13"/>
  <c r="D11" i="13"/>
  <c r="AB10" i="13"/>
  <c r="D10" i="13"/>
  <c r="AB9" i="13"/>
  <c r="D9" i="13"/>
  <c r="AB8" i="13"/>
  <c r="D8" i="13"/>
  <c r="T65" i="12"/>
  <c r="M65" i="12"/>
  <c r="L65" i="12"/>
  <c r="T64" i="12"/>
  <c r="M64" i="12"/>
  <c r="L64" i="12"/>
  <c r="N64" i="12" s="1"/>
  <c r="O64" i="12" s="1"/>
  <c r="U64" i="12" s="1"/>
  <c r="T63" i="12"/>
  <c r="M63" i="12"/>
  <c r="L63" i="12"/>
  <c r="T62" i="12"/>
  <c r="M62" i="12"/>
  <c r="L62" i="12"/>
  <c r="N62" i="12" s="1"/>
  <c r="O62" i="12" s="1"/>
  <c r="U62" i="12" s="1"/>
  <c r="T61" i="12"/>
  <c r="M61" i="12"/>
  <c r="L61" i="12"/>
  <c r="T60" i="12"/>
  <c r="M60" i="12"/>
  <c r="L60" i="12"/>
  <c r="N60" i="12" s="1"/>
  <c r="O60" i="12" s="1"/>
  <c r="U60" i="12" s="1"/>
  <c r="T59" i="12"/>
  <c r="M59" i="12"/>
  <c r="L59" i="12"/>
  <c r="T58" i="12"/>
  <c r="M58" i="12"/>
  <c r="L58" i="12"/>
  <c r="T57" i="12"/>
  <c r="M57" i="12"/>
  <c r="L57" i="12"/>
  <c r="T56" i="12"/>
  <c r="M56" i="12"/>
  <c r="L56" i="12"/>
  <c r="T55" i="12"/>
  <c r="M55" i="12"/>
  <c r="L55" i="12"/>
  <c r="N55" i="12" s="1"/>
  <c r="O55" i="12" s="1"/>
  <c r="U55" i="12" s="1"/>
  <c r="T54" i="12"/>
  <c r="M54" i="12"/>
  <c r="L54" i="12"/>
  <c r="N54" i="12" s="1"/>
  <c r="O54" i="12" s="1"/>
  <c r="U54" i="12" s="1"/>
  <c r="T53" i="12"/>
  <c r="M53" i="12"/>
  <c r="L53" i="12"/>
  <c r="T52" i="12"/>
  <c r="M52" i="12"/>
  <c r="L52" i="12"/>
  <c r="T51" i="12"/>
  <c r="M51" i="12"/>
  <c r="L51" i="12"/>
  <c r="T50" i="12"/>
  <c r="M50" i="12"/>
  <c r="L50" i="12"/>
  <c r="N50" i="12" s="1"/>
  <c r="O50" i="12" s="1"/>
  <c r="U50" i="12" s="1"/>
  <c r="T49" i="12"/>
  <c r="M49" i="12"/>
  <c r="L49" i="12"/>
  <c r="N49" i="12" s="1"/>
  <c r="O49" i="12" s="1"/>
  <c r="U49" i="12" s="1"/>
  <c r="T48" i="12"/>
  <c r="M48" i="12"/>
  <c r="L48" i="12"/>
  <c r="T47" i="12"/>
  <c r="M47" i="12"/>
  <c r="L47" i="12"/>
  <c r="N47" i="12" s="1"/>
  <c r="O47" i="12" s="1"/>
  <c r="U47" i="12" s="1"/>
  <c r="T46" i="12"/>
  <c r="M46" i="12"/>
  <c r="L46" i="12"/>
  <c r="T45" i="12"/>
  <c r="M45" i="12"/>
  <c r="L45" i="12"/>
  <c r="T44" i="12"/>
  <c r="M44" i="12"/>
  <c r="L44" i="12"/>
  <c r="T43" i="12"/>
  <c r="M43" i="12"/>
  <c r="L43" i="12"/>
  <c r="N43" i="12" s="1"/>
  <c r="O43" i="12" s="1"/>
  <c r="U43" i="12" s="1"/>
  <c r="T42" i="12"/>
  <c r="M42" i="12"/>
  <c r="L42" i="12"/>
  <c r="N42" i="12" s="1"/>
  <c r="O42" i="12" s="1"/>
  <c r="U42" i="12" s="1"/>
  <c r="T41" i="12"/>
  <c r="M41" i="12"/>
  <c r="L41" i="12"/>
  <c r="N41" i="12" s="1"/>
  <c r="O41" i="12" s="1"/>
  <c r="U41" i="12" s="1"/>
  <c r="T40" i="12"/>
  <c r="M40" i="12"/>
  <c r="L40" i="12"/>
  <c r="T39" i="12"/>
  <c r="M39" i="12"/>
  <c r="L39" i="12"/>
  <c r="T38" i="12"/>
  <c r="M38" i="12"/>
  <c r="L38" i="12"/>
  <c r="T37" i="12"/>
  <c r="M37" i="12"/>
  <c r="L37" i="12"/>
  <c r="T36" i="12"/>
  <c r="M36" i="12"/>
  <c r="L36" i="12"/>
  <c r="T35" i="12"/>
  <c r="M35" i="12"/>
  <c r="L35" i="12"/>
  <c r="T34" i="12"/>
  <c r="M34" i="12"/>
  <c r="L34" i="12"/>
  <c r="T33" i="12"/>
  <c r="M33" i="12"/>
  <c r="L33" i="12"/>
  <c r="T32" i="12"/>
  <c r="M32" i="12"/>
  <c r="L32" i="12"/>
  <c r="T31" i="12"/>
  <c r="M31" i="12"/>
  <c r="L31" i="12"/>
  <c r="T30" i="12"/>
  <c r="M30" i="12"/>
  <c r="L30" i="12"/>
  <c r="N30" i="12" s="1"/>
  <c r="O30" i="12" s="1"/>
  <c r="U30" i="12" s="1"/>
  <c r="T29" i="12"/>
  <c r="M29" i="12"/>
  <c r="L29" i="12"/>
  <c r="N29" i="12" s="1"/>
  <c r="O29" i="12" s="1"/>
  <c r="U29" i="12" s="1"/>
  <c r="T28" i="12"/>
  <c r="M28" i="12"/>
  <c r="L28" i="12"/>
  <c r="T27" i="12"/>
  <c r="M27" i="12"/>
  <c r="L27" i="12"/>
  <c r="T26" i="12"/>
  <c r="M26" i="12"/>
  <c r="L26" i="12"/>
  <c r="T25" i="12"/>
  <c r="M25" i="12"/>
  <c r="L25" i="12"/>
  <c r="T24" i="12"/>
  <c r="M24" i="12"/>
  <c r="L24" i="12"/>
  <c r="N24" i="12" s="1"/>
  <c r="O24" i="12" s="1"/>
  <c r="U24" i="12" s="1"/>
  <c r="T23" i="12"/>
  <c r="M23" i="12"/>
  <c r="L23" i="12"/>
  <c r="T22" i="12"/>
  <c r="M22" i="12"/>
  <c r="L22" i="12"/>
  <c r="T21" i="12"/>
  <c r="M21" i="12"/>
  <c r="L21" i="12"/>
  <c r="T20" i="12"/>
  <c r="M20" i="12"/>
  <c r="L20" i="12"/>
  <c r="N20" i="12" s="1"/>
  <c r="O20" i="12" s="1"/>
  <c r="U20" i="12" s="1"/>
  <c r="T19" i="12"/>
  <c r="M19" i="12"/>
  <c r="L19" i="12"/>
  <c r="T18" i="12"/>
  <c r="M18" i="12"/>
  <c r="L18" i="12"/>
  <c r="N18" i="12" s="1"/>
  <c r="O18" i="12" s="1"/>
  <c r="U18" i="12" s="1"/>
  <c r="T17" i="12"/>
  <c r="M17" i="12"/>
  <c r="L17" i="12"/>
  <c r="N17" i="12" s="1"/>
  <c r="O17" i="12" s="1"/>
  <c r="U17" i="12" s="1"/>
  <c r="T16" i="12"/>
  <c r="M16" i="12"/>
  <c r="L16" i="12"/>
  <c r="N16" i="12" s="1"/>
  <c r="O16" i="12" s="1"/>
  <c r="U16" i="12" s="1"/>
  <c r="T15" i="12"/>
  <c r="M15" i="12"/>
  <c r="L15" i="12"/>
  <c r="T14" i="12"/>
  <c r="M14" i="12"/>
  <c r="L14" i="12"/>
  <c r="T13" i="12"/>
  <c r="M13" i="12"/>
  <c r="L13" i="12"/>
  <c r="T12" i="12"/>
  <c r="M12" i="12"/>
  <c r="L12" i="12"/>
  <c r="N12" i="12" s="1"/>
  <c r="O12" i="12" s="1"/>
  <c r="U12" i="12" s="1"/>
  <c r="T11" i="12"/>
  <c r="M11" i="12"/>
  <c r="L11" i="12"/>
  <c r="M10" i="12"/>
  <c r="L10" i="12"/>
  <c r="M9" i="12"/>
  <c r="L9" i="12"/>
  <c r="M8" i="12"/>
  <c r="L8" i="12"/>
  <c r="M7" i="12"/>
  <c r="L7" i="12"/>
  <c r="M6" i="12"/>
  <c r="L6" i="12"/>
  <c r="A105" i="11"/>
  <c r="A104" i="11"/>
  <c r="A103" i="11"/>
  <c r="A102" i="11"/>
  <c r="A101" i="11"/>
  <c r="A100" i="11"/>
  <c r="A99" i="11"/>
  <c r="A98" i="11"/>
  <c r="A97" i="11"/>
  <c r="A96" i="11"/>
  <c r="A95" i="11"/>
  <c r="A94" i="11"/>
  <c r="A93" i="11"/>
  <c r="A92" i="11"/>
  <c r="A91" i="11"/>
  <c r="A90" i="11"/>
  <c r="A89" i="11"/>
  <c r="A88" i="11"/>
  <c r="A87" i="11"/>
  <c r="A86" i="11"/>
  <c r="A85" i="11"/>
  <c r="A84" i="11"/>
  <c r="A83" i="11"/>
  <c r="A82" i="11"/>
  <c r="A81" i="11"/>
  <c r="A80" i="11"/>
  <c r="A79" i="11"/>
  <c r="A78" i="11"/>
  <c r="A77" i="11"/>
  <c r="A76" i="11"/>
  <c r="A75" i="11"/>
  <c r="A74" i="11"/>
  <c r="A73" i="11"/>
  <c r="A72" i="11"/>
  <c r="A71" i="11"/>
  <c r="A70" i="11"/>
  <c r="A69" i="11"/>
  <c r="A68" i="11"/>
  <c r="A67" i="11"/>
  <c r="A66" i="11"/>
  <c r="A65" i="11"/>
  <c r="A64" i="11"/>
  <c r="A63" i="11"/>
  <c r="A62" i="11"/>
  <c r="A61" i="11"/>
  <c r="A60" i="11"/>
  <c r="A59" i="11"/>
  <c r="A58" i="11"/>
  <c r="A57" i="11"/>
  <c r="A56" i="11"/>
  <c r="A55" i="11"/>
  <c r="A54" i="11"/>
  <c r="A53" i="11"/>
  <c r="A52" i="11"/>
  <c r="A51" i="11"/>
  <c r="A50" i="11"/>
  <c r="A49" i="11"/>
  <c r="A48" i="11"/>
  <c r="A47" i="11"/>
  <c r="A46" i="11"/>
  <c r="A45" i="11"/>
  <c r="A44" i="11"/>
  <c r="A43" i="11"/>
  <c r="A42" i="11"/>
  <c r="A41" i="11"/>
  <c r="A40" i="11"/>
  <c r="A39" i="11"/>
  <c r="A38" i="11"/>
  <c r="A37" i="11"/>
  <c r="A36" i="11"/>
  <c r="A35" i="11"/>
  <c r="A34" i="11"/>
  <c r="A33" i="11"/>
  <c r="A32" i="11"/>
  <c r="A31" i="11"/>
  <c r="A30" i="11"/>
  <c r="A29" i="11"/>
  <c r="A28" i="11"/>
  <c r="A27" i="11"/>
  <c r="A26" i="11"/>
  <c r="A25" i="11"/>
  <c r="A24" i="11"/>
  <c r="A23" i="11"/>
  <c r="A22" i="11"/>
  <c r="A21" i="11"/>
  <c r="A20" i="11"/>
  <c r="A19" i="11"/>
  <c r="A18" i="11"/>
  <c r="A17" i="11"/>
  <c r="A16" i="11"/>
  <c r="A15" i="11"/>
  <c r="A14" i="11"/>
  <c r="A13" i="11"/>
  <c r="A12" i="11"/>
  <c r="A11" i="11"/>
  <c r="A10" i="11"/>
  <c r="A9" i="11"/>
  <c r="A8" i="11"/>
  <c r="A7" i="11"/>
  <c r="A6" i="11"/>
  <c r="O155" i="10"/>
  <c r="N155" i="10"/>
  <c r="M155" i="10"/>
  <c r="D155" i="10"/>
  <c r="C155" i="10"/>
  <c r="O154" i="10"/>
  <c r="N154" i="10"/>
  <c r="M154" i="10"/>
  <c r="D154" i="10"/>
  <c r="C154" i="10"/>
  <c r="O153" i="10"/>
  <c r="N153" i="10"/>
  <c r="M153" i="10"/>
  <c r="D153" i="10"/>
  <c r="C153" i="10"/>
  <c r="O152" i="10"/>
  <c r="N152" i="10"/>
  <c r="M152" i="10"/>
  <c r="D152" i="10"/>
  <c r="C152" i="10"/>
  <c r="O151" i="10"/>
  <c r="N151" i="10"/>
  <c r="M151" i="10"/>
  <c r="D151" i="10"/>
  <c r="C151" i="10"/>
  <c r="O150" i="10"/>
  <c r="N150" i="10"/>
  <c r="M150" i="10"/>
  <c r="D150" i="10"/>
  <c r="C150" i="10"/>
  <c r="O149" i="10"/>
  <c r="N149" i="10"/>
  <c r="M149" i="10"/>
  <c r="D149" i="10"/>
  <c r="C149" i="10"/>
  <c r="O148" i="10"/>
  <c r="N148" i="10"/>
  <c r="M148" i="10"/>
  <c r="D148" i="10"/>
  <c r="C148" i="10"/>
  <c r="O147" i="10"/>
  <c r="N147" i="10"/>
  <c r="M147" i="10"/>
  <c r="D147" i="10"/>
  <c r="C147" i="10"/>
  <c r="O146" i="10"/>
  <c r="N146" i="10"/>
  <c r="M146" i="10"/>
  <c r="D146" i="10"/>
  <c r="C146" i="10"/>
  <c r="O145" i="10"/>
  <c r="N145" i="10"/>
  <c r="M145" i="10"/>
  <c r="D145" i="10"/>
  <c r="C145" i="10"/>
  <c r="O144" i="10"/>
  <c r="N144" i="10"/>
  <c r="M144" i="10"/>
  <c r="D144" i="10"/>
  <c r="C144" i="10"/>
  <c r="O143" i="10"/>
  <c r="N143" i="10"/>
  <c r="M143" i="10"/>
  <c r="D143" i="10"/>
  <c r="C143" i="10"/>
  <c r="O142" i="10"/>
  <c r="N142" i="10"/>
  <c r="M142" i="10"/>
  <c r="D142" i="10"/>
  <c r="C142" i="10"/>
  <c r="O141" i="10"/>
  <c r="N141" i="10"/>
  <c r="M141" i="10"/>
  <c r="D141" i="10"/>
  <c r="C141" i="10"/>
  <c r="O140" i="10"/>
  <c r="N140" i="10"/>
  <c r="M140" i="10"/>
  <c r="D140" i="10"/>
  <c r="C140" i="10"/>
  <c r="O139" i="10"/>
  <c r="N139" i="10"/>
  <c r="M139" i="10"/>
  <c r="D139" i="10"/>
  <c r="C139" i="10"/>
  <c r="O138" i="10"/>
  <c r="N138" i="10"/>
  <c r="M138" i="10"/>
  <c r="D138" i="10"/>
  <c r="C138" i="10"/>
  <c r="O137" i="10"/>
  <c r="N137" i="10"/>
  <c r="M137" i="10"/>
  <c r="D137" i="10"/>
  <c r="C137" i="10"/>
  <c r="O136" i="10"/>
  <c r="N136" i="10"/>
  <c r="M136" i="10"/>
  <c r="D136" i="10"/>
  <c r="C136" i="10"/>
  <c r="O135" i="10"/>
  <c r="N135" i="10"/>
  <c r="M135" i="10"/>
  <c r="D135" i="10"/>
  <c r="C135" i="10"/>
  <c r="O134" i="10"/>
  <c r="N134" i="10"/>
  <c r="M134" i="10"/>
  <c r="D134" i="10"/>
  <c r="C134" i="10"/>
  <c r="O133" i="10"/>
  <c r="N133" i="10"/>
  <c r="M133" i="10"/>
  <c r="D133" i="10"/>
  <c r="C133" i="10"/>
  <c r="O132" i="10"/>
  <c r="N132" i="10"/>
  <c r="M132" i="10"/>
  <c r="D132" i="10"/>
  <c r="C132" i="10"/>
  <c r="O131" i="10"/>
  <c r="N131" i="10"/>
  <c r="M131" i="10"/>
  <c r="D131" i="10"/>
  <c r="C131" i="10"/>
  <c r="O130" i="10"/>
  <c r="N130" i="10"/>
  <c r="M130" i="10"/>
  <c r="D130" i="10"/>
  <c r="C130" i="10"/>
  <c r="O129" i="10"/>
  <c r="N129" i="10"/>
  <c r="M129" i="10"/>
  <c r="D129" i="10"/>
  <c r="C129" i="10"/>
  <c r="O128" i="10"/>
  <c r="N128" i="10"/>
  <c r="M128" i="10"/>
  <c r="D128" i="10"/>
  <c r="C128" i="10"/>
  <c r="O127" i="10"/>
  <c r="N127" i="10"/>
  <c r="M127" i="10"/>
  <c r="D127" i="10"/>
  <c r="C127" i="10"/>
  <c r="O126" i="10"/>
  <c r="N126" i="10"/>
  <c r="M126" i="10"/>
  <c r="D126" i="10"/>
  <c r="C126" i="10"/>
  <c r="O125" i="10"/>
  <c r="N125" i="10"/>
  <c r="M125" i="10"/>
  <c r="D125" i="10"/>
  <c r="C125" i="10"/>
  <c r="O124" i="10"/>
  <c r="N124" i="10"/>
  <c r="M124" i="10"/>
  <c r="D124" i="10"/>
  <c r="C124" i="10"/>
  <c r="O123" i="10"/>
  <c r="N123" i="10"/>
  <c r="M123" i="10"/>
  <c r="D123" i="10"/>
  <c r="C123" i="10"/>
  <c r="O122" i="10"/>
  <c r="N122" i="10"/>
  <c r="M122" i="10"/>
  <c r="D122" i="10"/>
  <c r="C122" i="10"/>
  <c r="O121" i="10"/>
  <c r="N121" i="10"/>
  <c r="M121" i="10"/>
  <c r="D121" i="10"/>
  <c r="C121" i="10"/>
  <c r="O120" i="10"/>
  <c r="N120" i="10"/>
  <c r="M120" i="10"/>
  <c r="D120" i="10"/>
  <c r="C120" i="10"/>
  <c r="O119" i="10"/>
  <c r="N119" i="10"/>
  <c r="M119" i="10"/>
  <c r="D119" i="10"/>
  <c r="C119" i="10"/>
  <c r="O118" i="10"/>
  <c r="N118" i="10"/>
  <c r="M118" i="10"/>
  <c r="D118" i="10"/>
  <c r="C118" i="10"/>
  <c r="O117" i="10"/>
  <c r="N117" i="10"/>
  <c r="M117" i="10"/>
  <c r="D117" i="10"/>
  <c r="C117" i="10"/>
  <c r="O116" i="10"/>
  <c r="N116" i="10"/>
  <c r="M116" i="10"/>
  <c r="D116" i="10"/>
  <c r="C116" i="10"/>
  <c r="O115" i="10"/>
  <c r="N115" i="10"/>
  <c r="M115" i="10"/>
  <c r="D115" i="10"/>
  <c r="C115" i="10"/>
  <c r="O114" i="10"/>
  <c r="N114" i="10"/>
  <c r="M114" i="10"/>
  <c r="D114" i="10"/>
  <c r="C114" i="10"/>
  <c r="O113" i="10"/>
  <c r="N113" i="10"/>
  <c r="M113" i="10"/>
  <c r="D113" i="10"/>
  <c r="C113" i="10"/>
  <c r="O112" i="10"/>
  <c r="N112" i="10"/>
  <c r="M112" i="10"/>
  <c r="D112" i="10"/>
  <c r="C112" i="10"/>
  <c r="O111" i="10"/>
  <c r="N111" i="10"/>
  <c r="M111" i="10"/>
  <c r="D111" i="10"/>
  <c r="C111" i="10"/>
  <c r="O110" i="10"/>
  <c r="N110" i="10"/>
  <c r="M110" i="10"/>
  <c r="D110" i="10"/>
  <c r="C110" i="10"/>
  <c r="O109" i="10"/>
  <c r="N109" i="10"/>
  <c r="M109" i="10"/>
  <c r="D109" i="10"/>
  <c r="C109" i="10"/>
  <c r="O108" i="10"/>
  <c r="N108" i="10"/>
  <c r="M108" i="10"/>
  <c r="D108" i="10"/>
  <c r="C108" i="10"/>
  <c r="O107" i="10"/>
  <c r="N107" i="10"/>
  <c r="M107" i="10"/>
  <c r="D107" i="10"/>
  <c r="C107" i="10"/>
  <c r="O106" i="10"/>
  <c r="N106" i="10"/>
  <c r="M106" i="10"/>
  <c r="D106" i="10"/>
  <c r="C106" i="10"/>
  <c r="O105" i="10"/>
  <c r="N105" i="10"/>
  <c r="M105" i="10"/>
  <c r="D105" i="10"/>
  <c r="C105" i="10"/>
  <c r="O104" i="10"/>
  <c r="N104" i="10"/>
  <c r="M104" i="10"/>
  <c r="D104" i="10"/>
  <c r="C104" i="10"/>
  <c r="O103" i="10"/>
  <c r="N103" i="10"/>
  <c r="M103" i="10"/>
  <c r="D103" i="10"/>
  <c r="C103" i="10"/>
  <c r="O102" i="10"/>
  <c r="N102" i="10"/>
  <c r="M102" i="10"/>
  <c r="D102" i="10"/>
  <c r="C102" i="10"/>
  <c r="O101" i="10"/>
  <c r="N101" i="10"/>
  <c r="M101" i="10"/>
  <c r="D101" i="10"/>
  <c r="C101" i="10"/>
  <c r="O100" i="10"/>
  <c r="N100" i="10"/>
  <c r="M100" i="10"/>
  <c r="D100" i="10"/>
  <c r="C100" i="10"/>
  <c r="O99" i="10"/>
  <c r="N99" i="10"/>
  <c r="M99" i="10"/>
  <c r="D99" i="10"/>
  <c r="C99" i="10"/>
  <c r="O98" i="10"/>
  <c r="N98" i="10"/>
  <c r="M98" i="10"/>
  <c r="D98" i="10"/>
  <c r="C98" i="10"/>
  <c r="O97" i="10"/>
  <c r="N97" i="10"/>
  <c r="M97" i="10"/>
  <c r="D97" i="10"/>
  <c r="C97" i="10"/>
  <c r="O96" i="10"/>
  <c r="N96" i="10"/>
  <c r="M96" i="10"/>
  <c r="D96" i="10"/>
  <c r="C96" i="10"/>
  <c r="O95" i="10"/>
  <c r="N95" i="10"/>
  <c r="M95" i="10"/>
  <c r="D95" i="10"/>
  <c r="C95" i="10"/>
  <c r="O94" i="10"/>
  <c r="N94" i="10"/>
  <c r="M94" i="10"/>
  <c r="D94" i="10"/>
  <c r="C94" i="10"/>
  <c r="O93" i="10"/>
  <c r="N93" i="10"/>
  <c r="M93" i="10"/>
  <c r="D93" i="10"/>
  <c r="C93" i="10"/>
  <c r="O92" i="10"/>
  <c r="N92" i="10"/>
  <c r="M92" i="10"/>
  <c r="D92" i="10"/>
  <c r="C92" i="10"/>
  <c r="O91" i="10"/>
  <c r="N91" i="10"/>
  <c r="M91" i="10"/>
  <c r="D91" i="10"/>
  <c r="C91" i="10"/>
  <c r="O90" i="10"/>
  <c r="N90" i="10"/>
  <c r="M90" i="10"/>
  <c r="D90" i="10"/>
  <c r="C90" i="10"/>
  <c r="O89" i="10"/>
  <c r="N89" i="10"/>
  <c r="M89" i="10"/>
  <c r="D89" i="10"/>
  <c r="C89" i="10"/>
  <c r="O88" i="10"/>
  <c r="N88" i="10"/>
  <c r="M88" i="10"/>
  <c r="D88" i="10"/>
  <c r="C88" i="10"/>
  <c r="O87" i="10"/>
  <c r="N87" i="10"/>
  <c r="M87" i="10"/>
  <c r="D87" i="10"/>
  <c r="C87" i="10"/>
  <c r="O86" i="10"/>
  <c r="N86" i="10"/>
  <c r="M86" i="10"/>
  <c r="D86" i="10"/>
  <c r="C86" i="10"/>
  <c r="O85" i="10"/>
  <c r="N85" i="10"/>
  <c r="M85" i="10"/>
  <c r="D85" i="10"/>
  <c r="C85" i="10"/>
  <c r="O84" i="10"/>
  <c r="N84" i="10"/>
  <c r="M84" i="10"/>
  <c r="D84" i="10"/>
  <c r="C84" i="10"/>
  <c r="O83" i="10"/>
  <c r="N83" i="10"/>
  <c r="M83" i="10"/>
  <c r="D83" i="10"/>
  <c r="C83" i="10"/>
  <c r="O82" i="10"/>
  <c r="N82" i="10"/>
  <c r="M82" i="10"/>
  <c r="D82" i="10"/>
  <c r="C82" i="10"/>
  <c r="O81" i="10"/>
  <c r="N81" i="10"/>
  <c r="M81" i="10"/>
  <c r="D81" i="10"/>
  <c r="C81" i="10"/>
  <c r="O80" i="10"/>
  <c r="N80" i="10"/>
  <c r="M80" i="10"/>
  <c r="D80" i="10"/>
  <c r="C80" i="10"/>
  <c r="O79" i="10"/>
  <c r="N79" i="10"/>
  <c r="M79" i="10"/>
  <c r="D79" i="10"/>
  <c r="C79" i="10"/>
  <c r="O78" i="10"/>
  <c r="N78" i="10"/>
  <c r="M78" i="10"/>
  <c r="D78" i="10"/>
  <c r="C78" i="10"/>
  <c r="O77" i="10"/>
  <c r="N77" i="10"/>
  <c r="M77" i="10"/>
  <c r="D77" i="10"/>
  <c r="C77" i="10"/>
  <c r="O76" i="10"/>
  <c r="N76" i="10"/>
  <c r="M76" i="10"/>
  <c r="D76" i="10"/>
  <c r="C76" i="10"/>
  <c r="O75" i="10"/>
  <c r="N75" i="10"/>
  <c r="M75" i="10"/>
  <c r="D75" i="10"/>
  <c r="C75" i="10"/>
  <c r="O74" i="10"/>
  <c r="N74" i="10"/>
  <c r="M74" i="10"/>
  <c r="D74" i="10"/>
  <c r="C74" i="10"/>
  <c r="O73" i="10"/>
  <c r="N73" i="10"/>
  <c r="M73" i="10"/>
  <c r="D73" i="10"/>
  <c r="C73" i="10"/>
  <c r="O72" i="10"/>
  <c r="N72" i="10"/>
  <c r="M72" i="10"/>
  <c r="D72" i="10"/>
  <c r="C72" i="10"/>
  <c r="O71" i="10"/>
  <c r="N71" i="10"/>
  <c r="M71" i="10"/>
  <c r="D71" i="10"/>
  <c r="C71" i="10"/>
  <c r="O70" i="10"/>
  <c r="N70" i="10"/>
  <c r="M70" i="10"/>
  <c r="D70" i="10"/>
  <c r="C70" i="10"/>
  <c r="O69" i="10"/>
  <c r="N69" i="10"/>
  <c r="M69" i="10"/>
  <c r="D69" i="10"/>
  <c r="C69" i="10"/>
  <c r="O68" i="10"/>
  <c r="N68" i="10"/>
  <c r="M68" i="10"/>
  <c r="D68" i="10"/>
  <c r="C68" i="10"/>
  <c r="O67" i="10"/>
  <c r="N67" i="10"/>
  <c r="M67" i="10"/>
  <c r="D67" i="10"/>
  <c r="C67" i="10"/>
  <c r="O66" i="10"/>
  <c r="N66" i="10"/>
  <c r="M66" i="10"/>
  <c r="D66" i="10"/>
  <c r="C66" i="10"/>
  <c r="O65" i="10"/>
  <c r="N65" i="10"/>
  <c r="M65" i="10"/>
  <c r="D65" i="10"/>
  <c r="C65" i="10"/>
  <c r="O64" i="10"/>
  <c r="N64" i="10"/>
  <c r="M64" i="10"/>
  <c r="D64" i="10"/>
  <c r="C64" i="10"/>
  <c r="O63" i="10"/>
  <c r="N63" i="10"/>
  <c r="M63" i="10"/>
  <c r="D63" i="10"/>
  <c r="C63" i="10"/>
  <c r="O62" i="10"/>
  <c r="N62" i="10"/>
  <c r="M62" i="10"/>
  <c r="D62" i="10"/>
  <c r="C62" i="10"/>
  <c r="O61" i="10"/>
  <c r="N61" i="10"/>
  <c r="M61" i="10"/>
  <c r="D61" i="10"/>
  <c r="C61" i="10"/>
  <c r="O60" i="10"/>
  <c r="N60" i="10"/>
  <c r="M60" i="10"/>
  <c r="D60" i="10"/>
  <c r="C60" i="10"/>
  <c r="O59" i="10"/>
  <c r="N59" i="10"/>
  <c r="M59" i="10"/>
  <c r="D59" i="10"/>
  <c r="C59" i="10"/>
  <c r="O58" i="10"/>
  <c r="N58" i="10"/>
  <c r="M58" i="10"/>
  <c r="D58" i="10"/>
  <c r="C58" i="10"/>
  <c r="O57" i="10"/>
  <c r="N57" i="10"/>
  <c r="M57" i="10"/>
  <c r="D57" i="10"/>
  <c r="C57" i="10"/>
  <c r="O56" i="10"/>
  <c r="N56" i="10"/>
  <c r="M56" i="10"/>
  <c r="D56" i="10"/>
  <c r="C56" i="10"/>
  <c r="O55" i="10"/>
  <c r="N55" i="10"/>
  <c r="M55" i="10"/>
  <c r="D55" i="10"/>
  <c r="C55" i="10"/>
  <c r="O54" i="10"/>
  <c r="N54" i="10"/>
  <c r="M54" i="10"/>
  <c r="D54" i="10"/>
  <c r="C54" i="10"/>
  <c r="O53" i="10"/>
  <c r="N53" i="10"/>
  <c r="M53" i="10"/>
  <c r="D53" i="10"/>
  <c r="C53" i="10"/>
  <c r="O52" i="10"/>
  <c r="N52" i="10"/>
  <c r="M52" i="10"/>
  <c r="D52" i="10"/>
  <c r="C52" i="10"/>
  <c r="O51" i="10"/>
  <c r="N51" i="10"/>
  <c r="M51" i="10"/>
  <c r="D51" i="10"/>
  <c r="C51" i="10"/>
  <c r="O50" i="10"/>
  <c r="N50" i="10"/>
  <c r="M50" i="10"/>
  <c r="D50" i="10"/>
  <c r="C50" i="10"/>
  <c r="O49" i="10"/>
  <c r="N49" i="10"/>
  <c r="M49" i="10"/>
  <c r="D49" i="10"/>
  <c r="C49" i="10"/>
  <c r="O48" i="10"/>
  <c r="N48" i="10"/>
  <c r="M48" i="10"/>
  <c r="D48" i="10"/>
  <c r="C48" i="10"/>
  <c r="O47" i="10"/>
  <c r="N47" i="10"/>
  <c r="M47" i="10"/>
  <c r="D47" i="10"/>
  <c r="C47" i="10"/>
  <c r="O46" i="10"/>
  <c r="N46" i="10"/>
  <c r="M46" i="10"/>
  <c r="D46" i="10"/>
  <c r="C46" i="10"/>
  <c r="O45" i="10"/>
  <c r="N45" i="10"/>
  <c r="M45" i="10"/>
  <c r="D45" i="10"/>
  <c r="C45" i="10"/>
  <c r="O44" i="10"/>
  <c r="N44" i="10"/>
  <c r="M44" i="10"/>
  <c r="D44" i="10"/>
  <c r="C44" i="10"/>
  <c r="O43" i="10"/>
  <c r="N43" i="10"/>
  <c r="M43" i="10"/>
  <c r="D43" i="10"/>
  <c r="C43" i="10"/>
  <c r="O42" i="10"/>
  <c r="N42" i="10"/>
  <c r="M42" i="10"/>
  <c r="D42" i="10"/>
  <c r="C42" i="10"/>
  <c r="O41" i="10"/>
  <c r="N41" i="10"/>
  <c r="M41" i="10"/>
  <c r="D41" i="10"/>
  <c r="C41" i="10"/>
  <c r="O40" i="10"/>
  <c r="N40" i="10"/>
  <c r="M40" i="10"/>
  <c r="D40" i="10"/>
  <c r="C40" i="10"/>
  <c r="O39" i="10"/>
  <c r="N39" i="10"/>
  <c r="M39" i="10"/>
  <c r="D39" i="10"/>
  <c r="C39" i="10"/>
  <c r="O38" i="10"/>
  <c r="N38" i="10"/>
  <c r="M38" i="10"/>
  <c r="D38" i="10"/>
  <c r="C38" i="10"/>
  <c r="O37" i="10"/>
  <c r="N37" i="10"/>
  <c r="M37" i="10"/>
  <c r="D37" i="10"/>
  <c r="C37" i="10"/>
  <c r="O36" i="10"/>
  <c r="N36" i="10"/>
  <c r="M36" i="10"/>
  <c r="D36" i="10"/>
  <c r="C36" i="10"/>
  <c r="O35" i="10"/>
  <c r="N35" i="10"/>
  <c r="M35" i="10"/>
  <c r="D35" i="10"/>
  <c r="C35" i="10"/>
  <c r="O34" i="10"/>
  <c r="N34" i="10"/>
  <c r="M34" i="10"/>
  <c r="D34" i="10"/>
  <c r="C34" i="10"/>
  <c r="O33" i="10"/>
  <c r="N33" i="10"/>
  <c r="M33" i="10"/>
  <c r="D33" i="10"/>
  <c r="C33" i="10"/>
  <c r="O32" i="10"/>
  <c r="N32" i="10"/>
  <c r="M32" i="10"/>
  <c r="D32" i="10"/>
  <c r="C32" i="10"/>
  <c r="O31" i="10"/>
  <c r="N31" i="10"/>
  <c r="M31" i="10"/>
  <c r="D31" i="10"/>
  <c r="C31" i="10"/>
  <c r="O30" i="10"/>
  <c r="N30" i="10"/>
  <c r="M30" i="10"/>
  <c r="D30" i="10"/>
  <c r="C30" i="10"/>
  <c r="O29" i="10"/>
  <c r="N29" i="10"/>
  <c r="M29" i="10"/>
  <c r="D29" i="10"/>
  <c r="C29" i="10"/>
  <c r="O28" i="10"/>
  <c r="N28" i="10"/>
  <c r="M28" i="10"/>
  <c r="D28" i="10"/>
  <c r="C28" i="10"/>
  <c r="O27" i="10"/>
  <c r="N27" i="10"/>
  <c r="M27" i="10"/>
  <c r="D27" i="10"/>
  <c r="C27" i="10"/>
  <c r="O26" i="10"/>
  <c r="N26" i="10"/>
  <c r="M26" i="10"/>
  <c r="D26" i="10"/>
  <c r="C26" i="10"/>
  <c r="O25" i="10"/>
  <c r="N25" i="10"/>
  <c r="M25" i="10"/>
  <c r="D25" i="10"/>
  <c r="C25" i="10"/>
  <c r="O24" i="10"/>
  <c r="N24" i="10"/>
  <c r="M24" i="10"/>
  <c r="D24" i="10"/>
  <c r="C24" i="10"/>
  <c r="O23" i="10"/>
  <c r="N23" i="10"/>
  <c r="M23" i="10"/>
  <c r="D23" i="10"/>
  <c r="C23" i="10"/>
  <c r="O22" i="10"/>
  <c r="N22" i="10"/>
  <c r="M22" i="10"/>
  <c r="D22" i="10"/>
  <c r="C22" i="10"/>
  <c r="O21" i="10"/>
  <c r="N21" i="10"/>
  <c r="M21" i="10"/>
  <c r="D21" i="10"/>
  <c r="C21" i="10"/>
  <c r="O20" i="10"/>
  <c r="N20" i="10"/>
  <c r="M20" i="10"/>
  <c r="D20" i="10"/>
  <c r="C20" i="10"/>
  <c r="O19" i="10"/>
  <c r="N19" i="10"/>
  <c r="M19" i="10"/>
  <c r="D19" i="10"/>
  <c r="C19" i="10"/>
  <c r="O18" i="10"/>
  <c r="N18" i="10"/>
  <c r="M18" i="10"/>
  <c r="D18" i="10"/>
  <c r="C18" i="10"/>
  <c r="O17" i="10"/>
  <c r="N17" i="10"/>
  <c r="M17" i="10"/>
  <c r="D17" i="10"/>
  <c r="C17" i="10"/>
  <c r="O16" i="10"/>
  <c r="N16" i="10"/>
  <c r="M16" i="10"/>
  <c r="D16" i="10"/>
  <c r="C16" i="10"/>
  <c r="O15" i="10"/>
  <c r="N15" i="10"/>
  <c r="M15" i="10"/>
  <c r="D15" i="10"/>
  <c r="C15" i="10"/>
  <c r="O14" i="10"/>
  <c r="N14" i="10"/>
  <c r="M14" i="10"/>
  <c r="D14" i="10"/>
  <c r="C14" i="10"/>
  <c r="O13" i="10"/>
  <c r="N13" i="10"/>
  <c r="M13" i="10"/>
  <c r="D13" i="10"/>
  <c r="C13" i="10"/>
  <c r="N12" i="10"/>
  <c r="M12" i="10"/>
  <c r="C12" i="10"/>
  <c r="N11" i="10"/>
  <c r="M11" i="10"/>
  <c r="C11" i="10"/>
  <c r="N10" i="10"/>
  <c r="M10" i="10"/>
  <c r="O10" i="10" s="1"/>
  <c r="C10" i="10"/>
  <c r="N9" i="10"/>
  <c r="M9" i="10"/>
  <c r="C9" i="10"/>
  <c r="N8" i="10"/>
  <c r="M8" i="10"/>
  <c r="C8" i="10"/>
  <c r="N7" i="10"/>
  <c r="M7" i="10"/>
  <c r="O7" i="10" s="1"/>
  <c r="C7" i="10"/>
  <c r="N6" i="10"/>
  <c r="M6" i="10"/>
  <c r="C6" i="10"/>
  <c r="X65" i="9"/>
  <c r="W65" i="9"/>
  <c r="U65" i="9"/>
  <c r="T65" i="9"/>
  <c r="S65" i="9"/>
  <c r="E65" i="9"/>
  <c r="D65" i="9"/>
  <c r="X64" i="9"/>
  <c r="W64" i="9"/>
  <c r="U64" i="9"/>
  <c r="T64" i="9"/>
  <c r="S64" i="9"/>
  <c r="E64" i="9"/>
  <c r="D64" i="9"/>
  <c r="X63" i="9"/>
  <c r="W63" i="9"/>
  <c r="U63" i="9"/>
  <c r="T63" i="9"/>
  <c r="S63" i="9"/>
  <c r="E63" i="9"/>
  <c r="D63" i="9"/>
  <c r="X62" i="9"/>
  <c r="W62" i="9"/>
  <c r="U62" i="9"/>
  <c r="T62" i="9"/>
  <c r="S62" i="9"/>
  <c r="E62" i="9"/>
  <c r="D62" i="9"/>
  <c r="X61" i="9"/>
  <c r="W61" i="9"/>
  <c r="U61" i="9"/>
  <c r="T61" i="9"/>
  <c r="S61" i="9"/>
  <c r="E61" i="9"/>
  <c r="D61" i="9"/>
  <c r="X60" i="9"/>
  <c r="W60" i="9"/>
  <c r="U60" i="9"/>
  <c r="T60" i="9"/>
  <c r="S60" i="9"/>
  <c r="E60" i="9"/>
  <c r="D60" i="9"/>
  <c r="X59" i="9"/>
  <c r="W59" i="9"/>
  <c r="U59" i="9"/>
  <c r="T59" i="9"/>
  <c r="S59" i="9"/>
  <c r="E59" i="9"/>
  <c r="D59" i="9"/>
  <c r="X58" i="9"/>
  <c r="W58" i="9"/>
  <c r="U58" i="9"/>
  <c r="T58" i="9"/>
  <c r="S58" i="9"/>
  <c r="E58" i="9"/>
  <c r="D58" i="9"/>
  <c r="X57" i="9"/>
  <c r="W57" i="9"/>
  <c r="U57" i="9"/>
  <c r="T57" i="9"/>
  <c r="S57" i="9"/>
  <c r="E57" i="9"/>
  <c r="D57" i="9"/>
  <c r="X56" i="9"/>
  <c r="W56" i="9"/>
  <c r="U56" i="9"/>
  <c r="T56" i="9"/>
  <c r="S56" i="9"/>
  <c r="E56" i="9"/>
  <c r="D56" i="9"/>
  <c r="X55" i="9"/>
  <c r="W55" i="9"/>
  <c r="U55" i="9"/>
  <c r="T55" i="9"/>
  <c r="S55" i="9"/>
  <c r="E55" i="9"/>
  <c r="D55" i="9"/>
  <c r="X54" i="9"/>
  <c r="W54" i="9"/>
  <c r="U54" i="9"/>
  <c r="T54" i="9"/>
  <c r="S54" i="9"/>
  <c r="E54" i="9"/>
  <c r="D54" i="9"/>
  <c r="X53" i="9"/>
  <c r="W53" i="9"/>
  <c r="U53" i="9"/>
  <c r="T53" i="9"/>
  <c r="S53" i="9"/>
  <c r="E53" i="9"/>
  <c r="D53" i="9"/>
  <c r="X52" i="9"/>
  <c r="W52" i="9"/>
  <c r="U52" i="9"/>
  <c r="T52" i="9"/>
  <c r="S52" i="9"/>
  <c r="E52" i="9"/>
  <c r="D52" i="9"/>
  <c r="X51" i="9"/>
  <c r="W51" i="9"/>
  <c r="U51" i="9"/>
  <c r="T51" i="9"/>
  <c r="S51" i="9"/>
  <c r="E51" i="9"/>
  <c r="D51" i="9"/>
  <c r="X50" i="9"/>
  <c r="W50" i="9"/>
  <c r="U50" i="9"/>
  <c r="T50" i="9"/>
  <c r="S50" i="9"/>
  <c r="E50" i="9"/>
  <c r="D50" i="9"/>
  <c r="X49" i="9"/>
  <c r="W49" i="9"/>
  <c r="U49" i="9"/>
  <c r="T49" i="9"/>
  <c r="S49" i="9"/>
  <c r="E49" i="9"/>
  <c r="D49" i="9"/>
  <c r="X48" i="9"/>
  <c r="W48" i="9"/>
  <c r="U48" i="9"/>
  <c r="T48" i="9"/>
  <c r="S48" i="9"/>
  <c r="E48" i="9"/>
  <c r="D48" i="9"/>
  <c r="X47" i="9"/>
  <c r="W47" i="9"/>
  <c r="U47" i="9"/>
  <c r="T47" i="9"/>
  <c r="S47" i="9"/>
  <c r="E47" i="9"/>
  <c r="D47" i="9"/>
  <c r="X46" i="9"/>
  <c r="W46" i="9"/>
  <c r="U46" i="9"/>
  <c r="T46" i="9"/>
  <c r="S46" i="9"/>
  <c r="E46" i="9"/>
  <c r="D46" i="9"/>
  <c r="X45" i="9"/>
  <c r="W45" i="9"/>
  <c r="U45" i="9"/>
  <c r="T45" i="9"/>
  <c r="S45" i="9"/>
  <c r="E45" i="9"/>
  <c r="D45" i="9"/>
  <c r="X44" i="9"/>
  <c r="W44" i="9"/>
  <c r="U44" i="9"/>
  <c r="T44" i="9"/>
  <c r="S44" i="9"/>
  <c r="E44" i="9"/>
  <c r="D44" i="9"/>
  <c r="X43" i="9"/>
  <c r="W43" i="9"/>
  <c r="U43" i="9"/>
  <c r="T43" i="9"/>
  <c r="S43" i="9"/>
  <c r="E43" i="9"/>
  <c r="D43" i="9"/>
  <c r="X42" i="9"/>
  <c r="W42" i="9"/>
  <c r="U42" i="9"/>
  <c r="T42" i="9"/>
  <c r="S42" i="9"/>
  <c r="E42" i="9"/>
  <c r="D42" i="9"/>
  <c r="X41" i="9"/>
  <c r="W41" i="9"/>
  <c r="U41" i="9"/>
  <c r="T41" i="9"/>
  <c r="S41" i="9"/>
  <c r="E41" i="9"/>
  <c r="D41" i="9"/>
  <c r="X40" i="9"/>
  <c r="W40" i="9"/>
  <c r="U40" i="9"/>
  <c r="T40" i="9"/>
  <c r="S40" i="9"/>
  <c r="E40" i="9"/>
  <c r="D40" i="9"/>
  <c r="X39" i="9"/>
  <c r="W39" i="9"/>
  <c r="U39" i="9"/>
  <c r="T39" i="9"/>
  <c r="S39" i="9"/>
  <c r="E39" i="9"/>
  <c r="D39" i="9"/>
  <c r="X38" i="9"/>
  <c r="W38" i="9"/>
  <c r="U38" i="9"/>
  <c r="T38" i="9"/>
  <c r="S38" i="9"/>
  <c r="E38" i="9"/>
  <c r="D38" i="9"/>
  <c r="X37" i="9"/>
  <c r="W37" i="9"/>
  <c r="U37" i="9"/>
  <c r="T37" i="9"/>
  <c r="S37" i="9"/>
  <c r="E37" i="9"/>
  <c r="D37" i="9"/>
  <c r="X36" i="9"/>
  <c r="W36" i="9"/>
  <c r="U36" i="9"/>
  <c r="T36" i="9"/>
  <c r="S36" i="9"/>
  <c r="E36" i="9"/>
  <c r="D36" i="9"/>
  <c r="X35" i="9"/>
  <c r="W35" i="9"/>
  <c r="U35" i="9"/>
  <c r="T35" i="9"/>
  <c r="S35" i="9"/>
  <c r="E35" i="9"/>
  <c r="D35" i="9"/>
  <c r="X34" i="9"/>
  <c r="W34" i="9"/>
  <c r="U34" i="9"/>
  <c r="T34" i="9"/>
  <c r="S34" i="9"/>
  <c r="E34" i="9"/>
  <c r="D34" i="9"/>
  <c r="X33" i="9"/>
  <c r="W33" i="9"/>
  <c r="U33" i="9"/>
  <c r="T33" i="9"/>
  <c r="S33" i="9"/>
  <c r="E33" i="9"/>
  <c r="D33" i="9"/>
  <c r="X32" i="9"/>
  <c r="W32" i="9"/>
  <c r="U32" i="9"/>
  <c r="T32" i="9"/>
  <c r="S32" i="9"/>
  <c r="E32" i="9"/>
  <c r="D32" i="9"/>
  <c r="X31" i="9"/>
  <c r="W31" i="9"/>
  <c r="U31" i="9"/>
  <c r="T31" i="9"/>
  <c r="S31" i="9"/>
  <c r="E31" i="9"/>
  <c r="D31" i="9"/>
  <c r="X30" i="9"/>
  <c r="W30" i="9"/>
  <c r="U30" i="9"/>
  <c r="T30" i="9"/>
  <c r="S30" i="9"/>
  <c r="E30" i="9"/>
  <c r="D30" i="9"/>
  <c r="X29" i="9"/>
  <c r="W29" i="9"/>
  <c r="U29" i="9"/>
  <c r="T29" i="9"/>
  <c r="S29" i="9"/>
  <c r="E29" i="9"/>
  <c r="D29" i="9"/>
  <c r="X28" i="9"/>
  <c r="W28" i="9"/>
  <c r="U28" i="9"/>
  <c r="T28" i="9"/>
  <c r="S28" i="9"/>
  <c r="E28" i="9"/>
  <c r="D28" i="9"/>
  <c r="X27" i="9"/>
  <c r="W27" i="9"/>
  <c r="U27" i="9"/>
  <c r="T27" i="9"/>
  <c r="S27" i="9"/>
  <c r="E27" i="9"/>
  <c r="D27" i="9"/>
  <c r="X26" i="9"/>
  <c r="W26" i="9"/>
  <c r="U26" i="9"/>
  <c r="T26" i="9"/>
  <c r="S26" i="9"/>
  <c r="E26" i="9"/>
  <c r="D26" i="9"/>
  <c r="X25" i="9"/>
  <c r="W25" i="9"/>
  <c r="U25" i="9"/>
  <c r="T25" i="9"/>
  <c r="S25" i="9"/>
  <c r="E25" i="9"/>
  <c r="D25" i="9"/>
  <c r="X24" i="9"/>
  <c r="W24" i="9"/>
  <c r="U24" i="9"/>
  <c r="T24" i="9"/>
  <c r="S24" i="9"/>
  <c r="E24" i="9"/>
  <c r="D24" i="9"/>
  <c r="X23" i="9"/>
  <c r="W23" i="9"/>
  <c r="U23" i="9"/>
  <c r="T23" i="9"/>
  <c r="S23" i="9"/>
  <c r="E23" i="9"/>
  <c r="D23" i="9"/>
  <c r="X22" i="9"/>
  <c r="W22" i="9"/>
  <c r="U22" i="9"/>
  <c r="T22" i="9"/>
  <c r="S22" i="9"/>
  <c r="E22" i="9"/>
  <c r="D22" i="9"/>
  <c r="X21" i="9"/>
  <c r="W21" i="9"/>
  <c r="U21" i="9"/>
  <c r="T21" i="9"/>
  <c r="S21" i="9"/>
  <c r="E21" i="9"/>
  <c r="D21" i="9"/>
  <c r="X20" i="9"/>
  <c r="W20" i="9"/>
  <c r="U20" i="9"/>
  <c r="T20" i="9"/>
  <c r="S20" i="9"/>
  <c r="E20" i="9"/>
  <c r="D20" i="9"/>
  <c r="X19" i="9"/>
  <c r="W19" i="9"/>
  <c r="U19" i="9"/>
  <c r="T19" i="9"/>
  <c r="S19" i="9"/>
  <c r="E19" i="9"/>
  <c r="D19" i="9"/>
  <c r="X18" i="9"/>
  <c r="W18" i="9"/>
  <c r="U18" i="9"/>
  <c r="T18" i="9"/>
  <c r="S18" i="9"/>
  <c r="E18" i="9"/>
  <c r="D18" i="9"/>
  <c r="X17" i="9"/>
  <c r="W17" i="9"/>
  <c r="U17" i="9"/>
  <c r="T17" i="9"/>
  <c r="S17" i="9"/>
  <c r="E17" i="9"/>
  <c r="D17" i="9"/>
  <c r="X16" i="9"/>
  <c r="W16" i="9"/>
  <c r="U16" i="9"/>
  <c r="T16" i="9"/>
  <c r="S16" i="9"/>
  <c r="E16" i="9"/>
  <c r="D16" i="9"/>
  <c r="X15" i="9"/>
  <c r="W15" i="9"/>
  <c r="U15" i="9"/>
  <c r="T15" i="9"/>
  <c r="S15" i="9"/>
  <c r="E15" i="9"/>
  <c r="D15" i="9"/>
  <c r="X14" i="9"/>
  <c r="W14" i="9"/>
  <c r="U14" i="9"/>
  <c r="T14" i="9"/>
  <c r="S14" i="9"/>
  <c r="E14" i="9"/>
  <c r="D14" i="9"/>
  <c r="X13" i="9"/>
  <c r="W13" i="9"/>
  <c r="U13" i="9"/>
  <c r="T13" i="9"/>
  <c r="S13" i="9"/>
  <c r="E13" i="9"/>
  <c r="D13" i="9"/>
  <c r="X12" i="9"/>
  <c r="W12" i="9"/>
  <c r="U12" i="9"/>
  <c r="T12" i="9"/>
  <c r="S12" i="9"/>
  <c r="E12" i="9"/>
  <c r="D12" i="9"/>
  <c r="T11" i="9"/>
  <c r="S11" i="9"/>
  <c r="E11" i="9"/>
  <c r="D11" i="9"/>
  <c r="T10" i="9"/>
  <c r="S10" i="9"/>
  <c r="E10" i="9"/>
  <c r="D10" i="9"/>
  <c r="T9" i="9"/>
  <c r="S9" i="9"/>
  <c r="E9" i="9"/>
  <c r="D9" i="9"/>
  <c r="T8" i="9"/>
  <c r="S8" i="9"/>
  <c r="E8" i="9"/>
  <c r="D8" i="9"/>
  <c r="T7" i="9"/>
  <c r="S7" i="9"/>
  <c r="E7" i="9"/>
  <c r="D7" i="9"/>
  <c r="T6" i="9"/>
  <c r="S6" i="9"/>
  <c r="E6" i="9"/>
  <c r="D6" i="9"/>
  <c r="S105" i="8"/>
  <c r="R105" i="8"/>
  <c r="Q105" i="8"/>
  <c r="P105" i="8"/>
  <c r="F105" i="8"/>
  <c r="E105" i="8"/>
  <c r="D105" i="8"/>
  <c r="C105" i="8"/>
  <c r="S104" i="8"/>
  <c r="R104" i="8"/>
  <c r="Q104" i="8"/>
  <c r="P104" i="8"/>
  <c r="F104" i="8"/>
  <c r="E104" i="8"/>
  <c r="D104" i="8"/>
  <c r="C104" i="8"/>
  <c r="S103" i="8"/>
  <c r="R103" i="8"/>
  <c r="Q103" i="8"/>
  <c r="P103" i="8"/>
  <c r="F103" i="8"/>
  <c r="E103" i="8"/>
  <c r="D103" i="8"/>
  <c r="C103" i="8"/>
  <c r="S102" i="8"/>
  <c r="R102" i="8"/>
  <c r="Q102" i="8"/>
  <c r="P102" i="8"/>
  <c r="F102" i="8"/>
  <c r="E102" i="8"/>
  <c r="D102" i="8"/>
  <c r="C102" i="8"/>
  <c r="S101" i="8"/>
  <c r="R101" i="8"/>
  <c r="Q101" i="8"/>
  <c r="P101" i="8"/>
  <c r="F101" i="8"/>
  <c r="E101" i="8"/>
  <c r="D101" i="8"/>
  <c r="C101" i="8"/>
  <c r="S100" i="8"/>
  <c r="R100" i="8"/>
  <c r="Q100" i="8"/>
  <c r="P100" i="8"/>
  <c r="F100" i="8"/>
  <c r="E100" i="8"/>
  <c r="D100" i="8"/>
  <c r="C100" i="8"/>
  <c r="S99" i="8"/>
  <c r="R99" i="8"/>
  <c r="Q99" i="8"/>
  <c r="P99" i="8"/>
  <c r="F99" i="8"/>
  <c r="E99" i="8"/>
  <c r="D99" i="8"/>
  <c r="C99" i="8"/>
  <c r="S98" i="8"/>
  <c r="R98" i="8"/>
  <c r="Q98" i="8"/>
  <c r="P98" i="8"/>
  <c r="F98" i="8"/>
  <c r="E98" i="8"/>
  <c r="D98" i="8"/>
  <c r="C98" i="8"/>
  <c r="S97" i="8"/>
  <c r="R97" i="8"/>
  <c r="Q97" i="8"/>
  <c r="P97" i="8"/>
  <c r="F97" i="8"/>
  <c r="E97" i="8"/>
  <c r="D97" i="8"/>
  <c r="C97" i="8"/>
  <c r="S96" i="8"/>
  <c r="R96" i="8"/>
  <c r="Q96" i="8"/>
  <c r="P96" i="8"/>
  <c r="F96" i="8"/>
  <c r="E96" i="8"/>
  <c r="D96" i="8"/>
  <c r="C96" i="8"/>
  <c r="S95" i="8"/>
  <c r="R95" i="8"/>
  <c r="Q95" i="8"/>
  <c r="P95" i="8"/>
  <c r="F95" i="8"/>
  <c r="E95" i="8"/>
  <c r="D95" i="8"/>
  <c r="C95" i="8"/>
  <c r="S94" i="8"/>
  <c r="R94" i="8"/>
  <c r="Q94" i="8"/>
  <c r="P94" i="8"/>
  <c r="F94" i="8"/>
  <c r="E94" i="8"/>
  <c r="D94" i="8"/>
  <c r="C94" i="8"/>
  <c r="S93" i="8"/>
  <c r="R93" i="8"/>
  <c r="Q93" i="8"/>
  <c r="P93" i="8"/>
  <c r="F93" i="8"/>
  <c r="E93" i="8"/>
  <c r="D93" i="8"/>
  <c r="C93" i="8"/>
  <c r="S92" i="8"/>
  <c r="R92" i="8"/>
  <c r="Q92" i="8"/>
  <c r="P92" i="8"/>
  <c r="F92" i="8"/>
  <c r="E92" i="8"/>
  <c r="D92" i="8"/>
  <c r="C92" i="8"/>
  <c r="S91" i="8"/>
  <c r="R91" i="8"/>
  <c r="Q91" i="8"/>
  <c r="P91" i="8"/>
  <c r="F91" i="8"/>
  <c r="E91" i="8"/>
  <c r="D91" i="8"/>
  <c r="C91" i="8"/>
  <c r="S90" i="8"/>
  <c r="R90" i="8"/>
  <c r="Q90" i="8"/>
  <c r="P90" i="8"/>
  <c r="F90" i="8"/>
  <c r="E90" i="8"/>
  <c r="D90" i="8"/>
  <c r="C90" i="8"/>
  <c r="S89" i="8"/>
  <c r="R89" i="8"/>
  <c r="Q89" i="8"/>
  <c r="P89" i="8"/>
  <c r="F89" i="8"/>
  <c r="E89" i="8"/>
  <c r="D89" i="8"/>
  <c r="C89" i="8"/>
  <c r="S88" i="8"/>
  <c r="R88" i="8"/>
  <c r="Q88" i="8"/>
  <c r="P88" i="8"/>
  <c r="F88" i="8"/>
  <c r="E88" i="8"/>
  <c r="D88" i="8"/>
  <c r="C88" i="8"/>
  <c r="S87" i="8"/>
  <c r="R87" i="8"/>
  <c r="Q87" i="8"/>
  <c r="P87" i="8"/>
  <c r="F87" i="8"/>
  <c r="E87" i="8"/>
  <c r="D87" i="8"/>
  <c r="C87" i="8"/>
  <c r="S86" i="8"/>
  <c r="R86" i="8"/>
  <c r="Q86" i="8"/>
  <c r="P86" i="8"/>
  <c r="F86" i="8"/>
  <c r="E86" i="8"/>
  <c r="D86" i="8"/>
  <c r="C86" i="8"/>
  <c r="S85" i="8"/>
  <c r="R85" i="8"/>
  <c r="Q85" i="8"/>
  <c r="P85" i="8"/>
  <c r="F85" i="8"/>
  <c r="E85" i="8"/>
  <c r="D85" i="8"/>
  <c r="C85" i="8"/>
  <c r="S84" i="8"/>
  <c r="R84" i="8"/>
  <c r="Q84" i="8"/>
  <c r="P84" i="8"/>
  <c r="F84" i="8"/>
  <c r="E84" i="8"/>
  <c r="D84" i="8"/>
  <c r="C84" i="8"/>
  <c r="S83" i="8"/>
  <c r="R83" i="8"/>
  <c r="Q83" i="8"/>
  <c r="P83" i="8"/>
  <c r="F83" i="8"/>
  <c r="E83" i="8"/>
  <c r="D83" i="8"/>
  <c r="C83" i="8"/>
  <c r="S82" i="8"/>
  <c r="R82" i="8"/>
  <c r="Q82" i="8"/>
  <c r="P82" i="8"/>
  <c r="F82" i="8"/>
  <c r="E82" i="8"/>
  <c r="D82" i="8"/>
  <c r="C82" i="8"/>
  <c r="S81" i="8"/>
  <c r="R81" i="8"/>
  <c r="Q81" i="8"/>
  <c r="P81" i="8"/>
  <c r="F81" i="8"/>
  <c r="E81" i="8"/>
  <c r="D81" i="8"/>
  <c r="C81" i="8"/>
  <c r="S80" i="8"/>
  <c r="R80" i="8"/>
  <c r="Q80" i="8"/>
  <c r="P80" i="8"/>
  <c r="F80" i="8"/>
  <c r="E80" i="8"/>
  <c r="D80" i="8"/>
  <c r="C80" i="8"/>
  <c r="S79" i="8"/>
  <c r="R79" i="8"/>
  <c r="Q79" i="8"/>
  <c r="P79" i="8"/>
  <c r="F79" i="8"/>
  <c r="E79" i="8"/>
  <c r="D79" i="8"/>
  <c r="C79" i="8"/>
  <c r="S78" i="8"/>
  <c r="R78" i="8"/>
  <c r="Q78" i="8"/>
  <c r="P78" i="8"/>
  <c r="F78" i="8"/>
  <c r="E78" i="8"/>
  <c r="D78" i="8"/>
  <c r="C78" i="8"/>
  <c r="S77" i="8"/>
  <c r="R77" i="8"/>
  <c r="Q77" i="8"/>
  <c r="P77" i="8"/>
  <c r="F77" i="8"/>
  <c r="E77" i="8"/>
  <c r="D77" i="8"/>
  <c r="C77" i="8"/>
  <c r="S76" i="8"/>
  <c r="R76" i="8"/>
  <c r="Q76" i="8"/>
  <c r="P76" i="8"/>
  <c r="F76" i="8"/>
  <c r="E76" i="8"/>
  <c r="D76" i="8"/>
  <c r="C76" i="8"/>
  <c r="S75" i="8"/>
  <c r="R75" i="8"/>
  <c r="Q75" i="8"/>
  <c r="P75" i="8"/>
  <c r="F75" i="8"/>
  <c r="E75" i="8"/>
  <c r="D75" i="8"/>
  <c r="C75" i="8"/>
  <c r="S74" i="8"/>
  <c r="R74" i="8"/>
  <c r="Q74" i="8"/>
  <c r="P74" i="8"/>
  <c r="F74" i="8"/>
  <c r="E74" i="8"/>
  <c r="D74" i="8"/>
  <c r="C74" i="8"/>
  <c r="S73" i="8"/>
  <c r="R73" i="8"/>
  <c r="Q73" i="8"/>
  <c r="P73" i="8"/>
  <c r="F73" i="8"/>
  <c r="E73" i="8"/>
  <c r="D73" i="8"/>
  <c r="C73" i="8"/>
  <c r="S72" i="8"/>
  <c r="R72" i="8"/>
  <c r="Q72" i="8"/>
  <c r="P72" i="8"/>
  <c r="F72" i="8"/>
  <c r="E72" i="8"/>
  <c r="D72" i="8"/>
  <c r="C72" i="8"/>
  <c r="S71" i="8"/>
  <c r="R71" i="8"/>
  <c r="Q71" i="8"/>
  <c r="P71" i="8"/>
  <c r="F71" i="8"/>
  <c r="E71" i="8"/>
  <c r="D71" i="8"/>
  <c r="C71" i="8"/>
  <c r="S70" i="8"/>
  <c r="R70" i="8"/>
  <c r="Q70" i="8"/>
  <c r="P70" i="8"/>
  <c r="F70" i="8"/>
  <c r="E70" i="8"/>
  <c r="D70" i="8"/>
  <c r="C70" i="8"/>
  <c r="S69" i="8"/>
  <c r="R69" i="8"/>
  <c r="Q69" i="8"/>
  <c r="P69" i="8"/>
  <c r="F69" i="8"/>
  <c r="E69" i="8"/>
  <c r="D69" i="8"/>
  <c r="C69" i="8"/>
  <c r="S68" i="8"/>
  <c r="R68" i="8"/>
  <c r="Q68" i="8"/>
  <c r="P68" i="8"/>
  <c r="F68" i="8"/>
  <c r="E68" i="8"/>
  <c r="D68" i="8"/>
  <c r="C68" i="8"/>
  <c r="S67" i="8"/>
  <c r="R67" i="8"/>
  <c r="Q67" i="8"/>
  <c r="P67" i="8"/>
  <c r="F67" i="8"/>
  <c r="E67" i="8"/>
  <c r="D67" i="8"/>
  <c r="C67" i="8"/>
  <c r="S66" i="8"/>
  <c r="R66" i="8"/>
  <c r="Q66" i="8"/>
  <c r="P66" i="8"/>
  <c r="F66" i="8"/>
  <c r="E66" i="8"/>
  <c r="D66" i="8"/>
  <c r="C66" i="8"/>
  <c r="S65" i="8"/>
  <c r="R65" i="8"/>
  <c r="Q65" i="8"/>
  <c r="P65" i="8"/>
  <c r="F65" i="8"/>
  <c r="E65" i="8"/>
  <c r="D65" i="8"/>
  <c r="C65" i="8"/>
  <c r="S64" i="8"/>
  <c r="R64" i="8"/>
  <c r="Q64" i="8"/>
  <c r="P64" i="8"/>
  <c r="F64" i="8"/>
  <c r="E64" i="8"/>
  <c r="D64" i="8"/>
  <c r="C64" i="8"/>
  <c r="S63" i="8"/>
  <c r="R63" i="8"/>
  <c r="Q63" i="8"/>
  <c r="P63" i="8"/>
  <c r="F63" i="8"/>
  <c r="E63" i="8"/>
  <c r="D63" i="8"/>
  <c r="C63" i="8"/>
  <c r="S62" i="8"/>
  <c r="R62" i="8"/>
  <c r="Q62" i="8"/>
  <c r="P62" i="8"/>
  <c r="F62" i="8"/>
  <c r="E62" i="8"/>
  <c r="D62" i="8"/>
  <c r="C62" i="8"/>
  <c r="S61" i="8"/>
  <c r="R61" i="8"/>
  <c r="Q61" i="8"/>
  <c r="P61" i="8"/>
  <c r="F61" i="8"/>
  <c r="E61" i="8"/>
  <c r="D61" i="8"/>
  <c r="C61" i="8"/>
  <c r="S60" i="8"/>
  <c r="R60" i="8"/>
  <c r="Q60" i="8"/>
  <c r="P60" i="8"/>
  <c r="F60" i="8"/>
  <c r="E60" i="8"/>
  <c r="D60" i="8"/>
  <c r="C60" i="8"/>
  <c r="S59" i="8"/>
  <c r="R59" i="8"/>
  <c r="Q59" i="8"/>
  <c r="P59" i="8"/>
  <c r="F59" i="8"/>
  <c r="E59" i="8"/>
  <c r="D59" i="8"/>
  <c r="C59" i="8"/>
  <c r="S58" i="8"/>
  <c r="R58" i="8"/>
  <c r="Q58" i="8"/>
  <c r="P58" i="8"/>
  <c r="F58" i="8"/>
  <c r="E58" i="8"/>
  <c r="D58" i="8"/>
  <c r="C58" i="8"/>
  <c r="S57" i="8"/>
  <c r="R57" i="8"/>
  <c r="Q57" i="8"/>
  <c r="P57" i="8"/>
  <c r="F57" i="8"/>
  <c r="E57" i="8"/>
  <c r="D57" i="8"/>
  <c r="C57" i="8"/>
  <c r="S56" i="8"/>
  <c r="R56" i="8"/>
  <c r="Q56" i="8"/>
  <c r="P56" i="8"/>
  <c r="F56" i="8"/>
  <c r="E56" i="8"/>
  <c r="D56" i="8"/>
  <c r="C56" i="8"/>
  <c r="S55" i="8"/>
  <c r="R55" i="8"/>
  <c r="Q55" i="8"/>
  <c r="P55" i="8"/>
  <c r="F55" i="8"/>
  <c r="E55" i="8"/>
  <c r="D55" i="8"/>
  <c r="C55" i="8"/>
  <c r="S54" i="8"/>
  <c r="R54" i="8"/>
  <c r="Q54" i="8"/>
  <c r="P54" i="8"/>
  <c r="F54" i="8"/>
  <c r="E54" i="8"/>
  <c r="D54" i="8"/>
  <c r="C54" i="8"/>
  <c r="S53" i="8"/>
  <c r="R53" i="8"/>
  <c r="Q53" i="8"/>
  <c r="P53" i="8"/>
  <c r="F53" i="8"/>
  <c r="E53" i="8"/>
  <c r="D53" i="8"/>
  <c r="C53" i="8"/>
  <c r="S52" i="8"/>
  <c r="R52" i="8"/>
  <c r="Q52" i="8"/>
  <c r="P52" i="8"/>
  <c r="F52" i="8"/>
  <c r="E52" i="8"/>
  <c r="D52" i="8"/>
  <c r="C52" i="8"/>
  <c r="S51" i="8"/>
  <c r="R51" i="8"/>
  <c r="Q51" i="8"/>
  <c r="P51" i="8"/>
  <c r="F51" i="8"/>
  <c r="E51" i="8"/>
  <c r="D51" i="8"/>
  <c r="C51" i="8"/>
  <c r="S50" i="8"/>
  <c r="R50" i="8"/>
  <c r="Q50" i="8"/>
  <c r="P50" i="8"/>
  <c r="F50" i="8"/>
  <c r="E50" i="8"/>
  <c r="D50" i="8"/>
  <c r="C50" i="8"/>
  <c r="S49" i="8"/>
  <c r="R49" i="8"/>
  <c r="Q49" i="8"/>
  <c r="P49" i="8"/>
  <c r="F49" i="8"/>
  <c r="E49" i="8"/>
  <c r="D49" i="8"/>
  <c r="C49" i="8"/>
  <c r="S48" i="8"/>
  <c r="R48" i="8"/>
  <c r="Q48" i="8"/>
  <c r="P48" i="8"/>
  <c r="F48" i="8"/>
  <c r="E48" i="8"/>
  <c r="D48" i="8"/>
  <c r="C48" i="8"/>
  <c r="S47" i="8"/>
  <c r="R47" i="8"/>
  <c r="Q47" i="8"/>
  <c r="P47" i="8"/>
  <c r="F47" i="8"/>
  <c r="E47" i="8"/>
  <c r="D47" i="8"/>
  <c r="C47" i="8"/>
  <c r="S46" i="8"/>
  <c r="R46" i="8"/>
  <c r="Q46" i="8"/>
  <c r="P46" i="8"/>
  <c r="F46" i="8"/>
  <c r="E46" i="8"/>
  <c r="D46" i="8"/>
  <c r="C46" i="8"/>
  <c r="S45" i="8"/>
  <c r="R45" i="8"/>
  <c r="Q45" i="8"/>
  <c r="P45" i="8"/>
  <c r="F45" i="8"/>
  <c r="E45" i="8"/>
  <c r="D45" i="8"/>
  <c r="C45" i="8"/>
  <c r="S44" i="8"/>
  <c r="R44" i="8"/>
  <c r="Q44" i="8"/>
  <c r="P44" i="8"/>
  <c r="F44" i="8"/>
  <c r="E44" i="8"/>
  <c r="D44" i="8"/>
  <c r="C44" i="8"/>
  <c r="S43" i="8"/>
  <c r="R43" i="8"/>
  <c r="Q43" i="8"/>
  <c r="P43" i="8"/>
  <c r="F43" i="8"/>
  <c r="E43" i="8"/>
  <c r="D43" i="8"/>
  <c r="C43" i="8"/>
  <c r="S42" i="8"/>
  <c r="R42" i="8"/>
  <c r="Q42" i="8"/>
  <c r="P42" i="8"/>
  <c r="F42" i="8"/>
  <c r="E42" i="8"/>
  <c r="D42" i="8"/>
  <c r="C42" i="8"/>
  <c r="S41" i="8"/>
  <c r="R41" i="8"/>
  <c r="Q41" i="8"/>
  <c r="P41" i="8"/>
  <c r="F41" i="8"/>
  <c r="E41" i="8"/>
  <c r="D41" i="8"/>
  <c r="C41" i="8"/>
  <c r="S40" i="8"/>
  <c r="R40" i="8"/>
  <c r="Q40" i="8"/>
  <c r="P40" i="8"/>
  <c r="F40" i="8"/>
  <c r="E40" i="8"/>
  <c r="D40" i="8"/>
  <c r="C40" i="8"/>
  <c r="S39" i="8"/>
  <c r="R39" i="8"/>
  <c r="Q39" i="8"/>
  <c r="P39" i="8"/>
  <c r="F39" i="8"/>
  <c r="E39" i="8"/>
  <c r="D39" i="8"/>
  <c r="C39" i="8"/>
  <c r="S38" i="8"/>
  <c r="R38" i="8"/>
  <c r="Q38" i="8"/>
  <c r="P38" i="8"/>
  <c r="F38" i="8"/>
  <c r="E38" i="8"/>
  <c r="D38" i="8"/>
  <c r="C38" i="8"/>
  <c r="S37" i="8"/>
  <c r="R37" i="8"/>
  <c r="Q37" i="8"/>
  <c r="P37" i="8"/>
  <c r="F37" i="8"/>
  <c r="E37" i="8"/>
  <c r="D37" i="8"/>
  <c r="C37" i="8"/>
  <c r="S36" i="8"/>
  <c r="R36" i="8"/>
  <c r="Q36" i="8"/>
  <c r="P36" i="8"/>
  <c r="F36" i="8"/>
  <c r="E36" i="8"/>
  <c r="D36" i="8"/>
  <c r="C36" i="8"/>
  <c r="S35" i="8"/>
  <c r="R35" i="8"/>
  <c r="Q35" i="8"/>
  <c r="P35" i="8"/>
  <c r="F35" i="8"/>
  <c r="E35" i="8"/>
  <c r="D35" i="8"/>
  <c r="C35" i="8"/>
  <c r="S34" i="8"/>
  <c r="R34" i="8"/>
  <c r="Q34" i="8"/>
  <c r="P34" i="8"/>
  <c r="F34" i="8"/>
  <c r="E34" i="8"/>
  <c r="D34" i="8"/>
  <c r="C34" i="8"/>
  <c r="S33" i="8"/>
  <c r="R33" i="8"/>
  <c r="Q33" i="8"/>
  <c r="P33" i="8"/>
  <c r="F33" i="8"/>
  <c r="E33" i="8"/>
  <c r="D33" i="8"/>
  <c r="C33" i="8"/>
  <c r="S32" i="8"/>
  <c r="R32" i="8"/>
  <c r="Q32" i="8"/>
  <c r="P32" i="8"/>
  <c r="F32" i="8"/>
  <c r="E32" i="8"/>
  <c r="D32" i="8"/>
  <c r="C32" i="8"/>
  <c r="S31" i="8"/>
  <c r="R31" i="8"/>
  <c r="Q31" i="8"/>
  <c r="P31" i="8"/>
  <c r="F31" i="8"/>
  <c r="E31" i="8"/>
  <c r="D31" i="8"/>
  <c r="C31" i="8"/>
  <c r="S30" i="8"/>
  <c r="R30" i="8"/>
  <c r="Q30" i="8"/>
  <c r="P30" i="8"/>
  <c r="F30" i="8"/>
  <c r="E30" i="8"/>
  <c r="D30" i="8"/>
  <c r="C30" i="8"/>
  <c r="S29" i="8"/>
  <c r="R29" i="8"/>
  <c r="Q29" i="8"/>
  <c r="P29" i="8"/>
  <c r="F29" i="8"/>
  <c r="E29" i="8"/>
  <c r="D29" i="8"/>
  <c r="C29" i="8"/>
  <c r="S28" i="8"/>
  <c r="R28" i="8"/>
  <c r="Q28" i="8"/>
  <c r="P28" i="8"/>
  <c r="F28" i="8"/>
  <c r="E28" i="8"/>
  <c r="D28" i="8"/>
  <c r="C28" i="8"/>
  <c r="S27" i="8"/>
  <c r="R27" i="8"/>
  <c r="Q27" i="8"/>
  <c r="P27" i="8"/>
  <c r="F27" i="8"/>
  <c r="E27" i="8"/>
  <c r="D27" i="8"/>
  <c r="C27" i="8"/>
  <c r="S26" i="8"/>
  <c r="R26" i="8"/>
  <c r="Q26" i="8"/>
  <c r="P26" i="8"/>
  <c r="F26" i="8"/>
  <c r="E26" i="8"/>
  <c r="D26" i="8"/>
  <c r="C26" i="8"/>
  <c r="S25" i="8"/>
  <c r="R25" i="8"/>
  <c r="Q25" i="8"/>
  <c r="P25" i="8"/>
  <c r="F25" i="8"/>
  <c r="E25" i="8"/>
  <c r="D25" i="8"/>
  <c r="C25" i="8"/>
  <c r="S24" i="8"/>
  <c r="R24" i="8"/>
  <c r="Q24" i="8"/>
  <c r="P24" i="8"/>
  <c r="F24" i="8"/>
  <c r="E24" i="8"/>
  <c r="D24" i="8"/>
  <c r="C24" i="8"/>
  <c r="S23" i="8"/>
  <c r="R23" i="8"/>
  <c r="Q23" i="8"/>
  <c r="P23" i="8"/>
  <c r="F23" i="8"/>
  <c r="E23" i="8"/>
  <c r="D23" i="8"/>
  <c r="C23" i="8"/>
  <c r="S22" i="8"/>
  <c r="R22" i="8"/>
  <c r="Q22" i="8"/>
  <c r="P22" i="8"/>
  <c r="F22" i="8"/>
  <c r="E22" i="8"/>
  <c r="D22" i="8"/>
  <c r="C22" i="8"/>
  <c r="S21" i="8"/>
  <c r="R21" i="8"/>
  <c r="Q21" i="8"/>
  <c r="P21" i="8"/>
  <c r="F21" i="8"/>
  <c r="E21" i="8"/>
  <c r="D21" i="8"/>
  <c r="C21" i="8"/>
  <c r="S20" i="8"/>
  <c r="R20" i="8"/>
  <c r="Q20" i="8"/>
  <c r="P20" i="8"/>
  <c r="F20" i="8"/>
  <c r="E20" i="8"/>
  <c r="D20" i="8"/>
  <c r="C20" i="8"/>
  <c r="S19" i="8"/>
  <c r="R19" i="8"/>
  <c r="Q19" i="8"/>
  <c r="P19" i="8"/>
  <c r="F19" i="8"/>
  <c r="E19" i="8"/>
  <c r="D19" i="8"/>
  <c r="C19" i="8"/>
  <c r="S18" i="8"/>
  <c r="R18" i="8"/>
  <c r="Q18" i="8"/>
  <c r="P18" i="8"/>
  <c r="F18" i="8"/>
  <c r="E18" i="8"/>
  <c r="D18" i="8"/>
  <c r="C18" i="8"/>
  <c r="S17" i="8"/>
  <c r="R17" i="8"/>
  <c r="Q17" i="8"/>
  <c r="P17" i="8"/>
  <c r="F17" i="8"/>
  <c r="E17" i="8"/>
  <c r="D17" i="8"/>
  <c r="C17" i="8"/>
  <c r="S16" i="8"/>
  <c r="R16" i="8"/>
  <c r="Q16" i="8"/>
  <c r="P16" i="8"/>
  <c r="F16" i="8"/>
  <c r="E16" i="8"/>
  <c r="D16" i="8"/>
  <c r="C16" i="8"/>
  <c r="S15" i="8"/>
  <c r="R15" i="8"/>
  <c r="Q15" i="8"/>
  <c r="P15" i="8"/>
  <c r="F15" i="8"/>
  <c r="E15" i="8"/>
  <c r="D15" i="8"/>
  <c r="C15" i="8"/>
  <c r="S14" i="8"/>
  <c r="R14" i="8"/>
  <c r="Q14" i="8"/>
  <c r="P14" i="8"/>
  <c r="F14" i="8"/>
  <c r="E14" i="8"/>
  <c r="D14" i="8"/>
  <c r="C14" i="8"/>
  <c r="S13" i="8"/>
  <c r="R13" i="8"/>
  <c r="Q13" i="8"/>
  <c r="P13" i="8"/>
  <c r="F13" i="8"/>
  <c r="E13" i="8"/>
  <c r="D13" i="8"/>
  <c r="C13" i="8"/>
  <c r="S12" i="8"/>
  <c r="R12" i="8"/>
  <c r="Q12" i="8"/>
  <c r="P12" i="8"/>
  <c r="F12" i="8"/>
  <c r="E12" i="8"/>
  <c r="D12" i="8"/>
  <c r="C12" i="8"/>
  <c r="S11" i="8"/>
  <c r="R11" i="8"/>
  <c r="Q11" i="8"/>
  <c r="P11" i="8"/>
  <c r="F11" i="8"/>
  <c r="E11" i="8"/>
  <c r="D11" i="8"/>
  <c r="C11" i="8"/>
  <c r="S10" i="8"/>
  <c r="R10" i="8"/>
  <c r="Q10" i="8"/>
  <c r="P10" i="8"/>
  <c r="F10" i="8"/>
  <c r="E10" i="8"/>
  <c r="D10" i="8"/>
  <c r="C10" i="8"/>
  <c r="Q9" i="8"/>
  <c r="P9" i="8"/>
  <c r="D9" i="8"/>
  <c r="C9" i="8"/>
  <c r="Q8" i="8"/>
  <c r="P8" i="8"/>
  <c r="D8" i="8"/>
  <c r="C8" i="8"/>
  <c r="D7" i="8"/>
  <c r="C7" i="8"/>
  <c r="D6" i="8"/>
  <c r="C6" i="8"/>
  <c r="N105" i="7"/>
  <c r="O105" i="7" s="1"/>
  <c r="L105" i="7"/>
  <c r="K105" i="7"/>
  <c r="C105" i="7"/>
  <c r="N104" i="7"/>
  <c r="O104" i="7" s="1"/>
  <c r="L104" i="7"/>
  <c r="K104" i="7"/>
  <c r="C104" i="7"/>
  <c r="N103" i="7"/>
  <c r="O103" i="7" s="1"/>
  <c r="L103" i="7"/>
  <c r="K103" i="7"/>
  <c r="C103" i="7"/>
  <c r="N102" i="7"/>
  <c r="O102" i="7" s="1"/>
  <c r="L102" i="7"/>
  <c r="K102" i="7"/>
  <c r="C102" i="7"/>
  <c r="N101" i="7"/>
  <c r="O101" i="7" s="1"/>
  <c r="L101" i="7"/>
  <c r="K101" i="7"/>
  <c r="C101" i="7"/>
  <c r="N100" i="7"/>
  <c r="O100" i="7" s="1"/>
  <c r="L100" i="7"/>
  <c r="K100" i="7"/>
  <c r="C100" i="7"/>
  <c r="N99" i="7"/>
  <c r="O99" i="7" s="1"/>
  <c r="L99" i="7"/>
  <c r="K99" i="7"/>
  <c r="C99" i="7"/>
  <c r="N98" i="7"/>
  <c r="O98" i="7" s="1"/>
  <c r="L98" i="7"/>
  <c r="K98" i="7"/>
  <c r="C98" i="7"/>
  <c r="N97" i="7"/>
  <c r="O97" i="7" s="1"/>
  <c r="L97" i="7"/>
  <c r="K97" i="7"/>
  <c r="C97" i="7"/>
  <c r="N96" i="7"/>
  <c r="O96" i="7" s="1"/>
  <c r="L96" i="7"/>
  <c r="K96" i="7"/>
  <c r="C96" i="7"/>
  <c r="N95" i="7"/>
  <c r="O95" i="7" s="1"/>
  <c r="L95" i="7"/>
  <c r="K95" i="7"/>
  <c r="C95" i="7"/>
  <c r="N94" i="7"/>
  <c r="O94" i="7" s="1"/>
  <c r="L94" i="7"/>
  <c r="K94" i="7"/>
  <c r="C94" i="7"/>
  <c r="N93" i="7"/>
  <c r="O93" i="7" s="1"/>
  <c r="L93" i="7"/>
  <c r="K93" i="7"/>
  <c r="C93" i="7"/>
  <c r="N92" i="7"/>
  <c r="O92" i="7" s="1"/>
  <c r="L92" i="7"/>
  <c r="K92" i="7"/>
  <c r="C92" i="7"/>
  <c r="N91" i="7"/>
  <c r="O91" i="7" s="1"/>
  <c r="L91" i="7"/>
  <c r="K91" i="7"/>
  <c r="C91" i="7"/>
  <c r="N90" i="7"/>
  <c r="O90" i="7" s="1"/>
  <c r="L90" i="7"/>
  <c r="K90" i="7"/>
  <c r="C90" i="7"/>
  <c r="N89" i="7"/>
  <c r="O89" i="7" s="1"/>
  <c r="L89" i="7"/>
  <c r="K89" i="7"/>
  <c r="C89" i="7"/>
  <c r="N88" i="7"/>
  <c r="O88" i="7" s="1"/>
  <c r="L88" i="7"/>
  <c r="K88" i="7"/>
  <c r="C88" i="7"/>
  <c r="N87" i="7"/>
  <c r="O87" i="7" s="1"/>
  <c r="L87" i="7"/>
  <c r="K87" i="7"/>
  <c r="C87" i="7"/>
  <c r="N86" i="7"/>
  <c r="O86" i="7" s="1"/>
  <c r="L86" i="7"/>
  <c r="K86" i="7"/>
  <c r="C86" i="7"/>
  <c r="N85" i="7"/>
  <c r="O85" i="7" s="1"/>
  <c r="L85" i="7"/>
  <c r="K85" i="7"/>
  <c r="C85" i="7"/>
  <c r="N84" i="7"/>
  <c r="O84" i="7" s="1"/>
  <c r="L84" i="7"/>
  <c r="K84" i="7"/>
  <c r="C84" i="7"/>
  <c r="N83" i="7"/>
  <c r="O83" i="7" s="1"/>
  <c r="L83" i="7"/>
  <c r="K83" i="7"/>
  <c r="C83" i="7"/>
  <c r="N82" i="7"/>
  <c r="O82" i="7" s="1"/>
  <c r="L82" i="7"/>
  <c r="K82" i="7"/>
  <c r="C82" i="7"/>
  <c r="N81" i="7"/>
  <c r="O81" i="7" s="1"/>
  <c r="L81" i="7"/>
  <c r="K81" i="7"/>
  <c r="C81" i="7"/>
  <c r="N80" i="7"/>
  <c r="O80" i="7" s="1"/>
  <c r="L80" i="7"/>
  <c r="K80" i="7"/>
  <c r="C80" i="7"/>
  <c r="N79" i="7"/>
  <c r="O79" i="7" s="1"/>
  <c r="L79" i="7"/>
  <c r="K79" i="7"/>
  <c r="C79" i="7"/>
  <c r="N78" i="7"/>
  <c r="O78" i="7" s="1"/>
  <c r="L78" i="7"/>
  <c r="K78" i="7"/>
  <c r="C78" i="7"/>
  <c r="N77" i="7"/>
  <c r="O77" i="7" s="1"/>
  <c r="L77" i="7"/>
  <c r="K77" i="7"/>
  <c r="C77" i="7"/>
  <c r="N76" i="7"/>
  <c r="O76" i="7" s="1"/>
  <c r="L76" i="7"/>
  <c r="K76" i="7"/>
  <c r="C76" i="7"/>
  <c r="N75" i="7"/>
  <c r="O75" i="7" s="1"/>
  <c r="L75" i="7"/>
  <c r="K75" i="7"/>
  <c r="C75" i="7"/>
  <c r="N74" i="7"/>
  <c r="O74" i="7" s="1"/>
  <c r="L74" i="7"/>
  <c r="K74" i="7"/>
  <c r="C74" i="7"/>
  <c r="N73" i="7"/>
  <c r="O73" i="7" s="1"/>
  <c r="L73" i="7"/>
  <c r="K73" i="7"/>
  <c r="C73" i="7"/>
  <c r="N72" i="7"/>
  <c r="O72" i="7" s="1"/>
  <c r="L72" i="7"/>
  <c r="K72" i="7"/>
  <c r="C72" i="7"/>
  <c r="N71" i="7"/>
  <c r="O71" i="7" s="1"/>
  <c r="L71" i="7"/>
  <c r="K71" i="7"/>
  <c r="C71" i="7"/>
  <c r="N70" i="7"/>
  <c r="O70" i="7" s="1"/>
  <c r="L70" i="7"/>
  <c r="K70" i="7"/>
  <c r="C70" i="7"/>
  <c r="N69" i="7"/>
  <c r="O69" i="7" s="1"/>
  <c r="L69" i="7"/>
  <c r="K69" i="7"/>
  <c r="C69" i="7"/>
  <c r="N68" i="7"/>
  <c r="O68" i="7" s="1"/>
  <c r="L68" i="7"/>
  <c r="K68" i="7"/>
  <c r="C68" i="7"/>
  <c r="N67" i="7"/>
  <c r="O67" i="7" s="1"/>
  <c r="L67" i="7"/>
  <c r="K67" i="7"/>
  <c r="C67" i="7"/>
  <c r="N66" i="7"/>
  <c r="O66" i="7" s="1"/>
  <c r="L66" i="7"/>
  <c r="K66" i="7"/>
  <c r="C66" i="7"/>
  <c r="N65" i="7"/>
  <c r="O65" i="7" s="1"/>
  <c r="L65" i="7"/>
  <c r="K65" i="7"/>
  <c r="C65" i="7"/>
  <c r="N64" i="7"/>
  <c r="O64" i="7" s="1"/>
  <c r="L64" i="7"/>
  <c r="K64" i="7"/>
  <c r="C64" i="7"/>
  <c r="N63" i="7"/>
  <c r="O63" i="7" s="1"/>
  <c r="L63" i="7"/>
  <c r="K63" i="7"/>
  <c r="C63" i="7"/>
  <c r="N62" i="7"/>
  <c r="O62" i="7" s="1"/>
  <c r="L62" i="7"/>
  <c r="K62" i="7"/>
  <c r="C62" i="7"/>
  <c r="N61" i="7"/>
  <c r="O61" i="7" s="1"/>
  <c r="L61" i="7"/>
  <c r="K61" i="7"/>
  <c r="C61" i="7"/>
  <c r="N60" i="7"/>
  <c r="O60" i="7" s="1"/>
  <c r="L60" i="7"/>
  <c r="K60" i="7"/>
  <c r="C60" i="7"/>
  <c r="N59" i="7"/>
  <c r="O59" i="7" s="1"/>
  <c r="L59" i="7"/>
  <c r="K59" i="7"/>
  <c r="C59" i="7"/>
  <c r="N58" i="7"/>
  <c r="O58" i="7" s="1"/>
  <c r="L58" i="7"/>
  <c r="K58" i="7"/>
  <c r="C58" i="7"/>
  <c r="N57" i="7"/>
  <c r="O57" i="7" s="1"/>
  <c r="L57" i="7"/>
  <c r="K57" i="7"/>
  <c r="C57" i="7"/>
  <c r="N56" i="7"/>
  <c r="O56" i="7" s="1"/>
  <c r="L56" i="7"/>
  <c r="K56" i="7"/>
  <c r="C56" i="7"/>
  <c r="N55" i="7"/>
  <c r="O55" i="7" s="1"/>
  <c r="L55" i="7"/>
  <c r="K55" i="7"/>
  <c r="C55" i="7"/>
  <c r="N54" i="7"/>
  <c r="O54" i="7" s="1"/>
  <c r="L54" i="7"/>
  <c r="K54" i="7"/>
  <c r="C54" i="7"/>
  <c r="N53" i="7"/>
  <c r="O53" i="7" s="1"/>
  <c r="L53" i="7"/>
  <c r="K53" i="7"/>
  <c r="C53" i="7"/>
  <c r="N52" i="7"/>
  <c r="O52" i="7" s="1"/>
  <c r="L52" i="7"/>
  <c r="K52" i="7"/>
  <c r="C52" i="7"/>
  <c r="N51" i="7"/>
  <c r="O51" i="7" s="1"/>
  <c r="L51" i="7"/>
  <c r="K51" i="7"/>
  <c r="C51" i="7"/>
  <c r="N50" i="7"/>
  <c r="O50" i="7" s="1"/>
  <c r="L50" i="7"/>
  <c r="K50" i="7"/>
  <c r="C50" i="7"/>
  <c r="N49" i="7"/>
  <c r="O49" i="7" s="1"/>
  <c r="L49" i="7"/>
  <c r="K49" i="7"/>
  <c r="C49" i="7"/>
  <c r="N48" i="7"/>
  <c r="O48" i="7" s="1"/>
  <c r="L48" i="7"/>
  <c r="K48" i="7"/>
  <c r="C48" i="7"/>
  <c r="N47" i="7"/>
  <c r="O47" i="7" s="1"/>
  <c r="L47" i="7"/>
  <c r="K47" i="7"/>
  <c r="C47" i="7"/>
  <c r="N46" i="7"/>
  <c r="O46" i="7" s="1"/>
  <c r="L46" i="7"/>
  <c r="K46" i="7"/>
  <c r="C46" i="7"/>
  <c r="N45" i="7"/>
  <c r="O45" i="7" s="1"/>
  <c r="L45" i="7"/>
  <c r="K45" i="7"/>
  <c r="C45" i="7"/>
  <c r="N44" i="7"/>
  <c r="O44" i="7" s="1"/>
  <c r="L44" i="7"/>
  <c r="K44" i="7"/>
  <c r="C44" i="7"/>
  <c r="N43" i="7"/>
  <c r="O43" i="7" s="1"/>
  <c r="L43" i="7"/>
  <c r="K43" i="7"/>
  <c r="C43" i="7"/>
  <c r="N42" i="7"/>
  <c r="O42" i="7" s="1"/>
  <c r="L42" i="7"/>
  <c r="K42" i="7"/>
  <c r="C42" i="7"/>
  <c r="N41" i="7"/>
  <c r="O41" i="7" s="1"/>
  <c r="L41" i="7"/>
  <c r="K41" i="7"/>
  <c r="C41" i="7"/>
  <c r="N40" i="7"/>
  <c r="O40" i="7" s="1"/>
  <c r="L40" i="7"/>
  <c r="K40" i="7"/>
  <c r="C40" i="7"/>
  <c r="N39" i="7"/>
  <c r="O39" i="7" s="1"/>
  <c r="L39" i="7"/>
  <c r="K39" i="7"/>
  <c r="C39" i="7"/>
  <c r="N38" i="7"/>
  <c r="O38" i="7" s="1"/>
  <c r="L38" i="7"/>
  <c r="K38" i="7"/>
  <c r="C38" i="7"/>
  <c r="N37" i="7"/>
  <c r="O37" i="7" s="1"/>
  <c r="L37" i="7"/>
  <c r="K37" i="7"/>
  <c r="C37" i="7"/>
  <c r="N36" i="7"/>
  <c r="O36" i="7" s="1"/>
  <c r="L36" i="7"/>
  <c r="K36" i="7"/>
  <c r="C36" i="7"/>
  <c r="N35" i="7"/>
  <c r="O35" i="7" s="1"/>
  <c r="L35" i="7"/>
  <c r="K35" i="7"/>
  <c r="C35" i="7"/>
  <c r="N34" i="7"/>
  <c r="O34" i="7" s="1"/>
  <c r="L34" i="7"/>
  <c r="K34" i="7"/>
  <c r="C34" i="7"/>
  <c r="N33" i="7"/>
  <c r="O33" i="7" s="1"/>
  <c r="L33" i="7"/>
  <c r="K33" i="7"/>
  <c r="C33" i="7"/>
  <c r="N32" i="7"/>
  <c r="O32" i="7" s="1"/>
  <c r="L32" i="7"/>
  <c r="K32" i="7"/>
  <c r="C32" i="7"/>
  <c r="N31" i="7"/>
  <c r="O31" i="7" s="1"/>
  <c r="L31" i="7"/>
  <c r="K31" i="7"/>
  <c r="C31" i="7"/>
  <c r="N30" i="7"/>
  <c r="O30" i="7" s="1"/>
  <c r="L30" i="7"/>
  <c r="K30" i="7"/>
  <c r="C30" i="7"/>
  <c r="N29" i="7"/>
  <c r="O29" i="7" s="1"/>
  <c r="L29" i="7"/>
  <c r="K29" i="7"/>
  <c r="C29" i="7"/>
  <c r="N28" i="7"/>
  <c r="O28" i="7" s="1"/>
  <c r="L28" i="7"/>
  <c r="K28" i="7"/>
  <c r="C28" i="7"/>
  <c r="N27" i="7"/>
  <c r="O27" i="7" s="1"/>
  <c r="L27" i="7"/>
  <c r="K27" i="7"/>
  <c r="C27" i="7"/>
  <c r="N26" i="7"/>
  <c r="O26" i="7" s="1"/>
  <c r="L26" i="7"/>
  <c r="K26" i="7"/>
  <c r="C26" i="7"/>
  <c r="N25" i="7"/>
  <c r="O25" i="7" s="1"/>
  <c r="L25" i="7"/>
  <c r="K25" i="7"/>
  <c r="C25" i="7"/>
  <c r="N24" i="7"/>
  <c r="O24" i="7" s="1"/>
  <c r="L24" i="7"/>
  <c r="K24" i="7"/>
  <c r="C24" i="7"/>
  <c r="N23" i="7"/>
  <c r="O23" i="7" s="1"/>
  <c r="L23" i="7"/>
  <c r="K23" i="7"/>
  <c r="C23" i="7"/>
  <c r="N22" i="7"/>
  <c r="O22" i="7" s="1"/>
  <c r="L22" i="7"/>
  <c r="K22" i="7"/>
  <c r="C22" i="7"/>
  <c r="N21" i="7"/>
  <c r="O21" i="7" s="1"/>
  <c r="L21" i="7"/>
  <c r="K21" i="7"/>
  <c r="C21" i="7"/>
  <c r="N20" i="7"/>
  <c r="O20" i="7" s="1"/>
  <c r="L20" i="7"/>
  <c r="K20" i="7"/>
  <c r="C20" i="7"/>
  <c r="N19" i="7"/>
  <c r="O19" i="7" s="1"/>
  <c r="L19" i="7"/>
  <c r="K19" i="7"/>
  <c r="C19" i="7"/>
  <c r="N18" i="7"/>
  <c r="O18" i="7" s="1"/>
  <c r="L18" i="7"/>
  <c r="K18" i="7"/>
  <c r="C18" i="7"/>
  <c r="N17" i="7"/>
  <c r="O17" i="7" s="1"/>
  <c r="L17" i="7"/>
  <c r="K17" i="7"/>
  <c r="C17" i="7"/>
  <c r="N16" i="7"/>
  <c r="O16" i="7" s="1"/>
  <c r="L16" i="7"/>
  <c r="K16" i="7"/>
  <c r="C16" i="7"/>
  <c r="N15" i="7"/>
  <c r="O15" i="7" s="1"/>
  <c r="L15" i="7"/>
  <c r="K15" i="7"/>
  <c r="C15" i="7"/>
  <c r="N14" i="7"/>
  <c r="O14" i="7" s="1"/>
  <c r="L14" i="7"/>
  <c r="K14" i="7"/>
  <c r="C14" i="7"/>
  <c r="N13" i="7"/>
  <c r="O13" i="7" s="1"/>
  <c r="L13" i="7"/>
  <c r="K13" i="7"/>
  <c r="C13" i="7"/>
  <c r="N12" i="7"/>
  <c r="O12" i="7" s="1"/>
  <c r="L12" i="7"/>
  <c r="K12" i="7"/>
  <c r="C12" i="7"/>
  <c r="N11" i="7"/>
  <c r="O11" i="7" s="1"/>
  <c r="L11" i="7"/>
  <c r="K11" i="7"/>
  <c r="C11" i="7"/>
  <c r="L10" i="7"/>
  <c r="K10" i="7"/>
  <c r="C10" i="7"/>
  <c r="C9" i="7"/>
  <c r="C8" i="7"/>
  <c r="C7" i="7"/>
  <c r="C6" i="7"/>
  <c r="AJ105" i="5"/>
  <c r="AC105" i="5"/>
  <c r="AA105" i="5"/>
  <c r="V105" i="5"/>
  <c r="AK104" i="5"/>
  <c r="AJ104" i="5"/>
  <c r="AC104" i="5"/>
  <c r="AA104" i="5"/>
  <c r="V104" i="5"/>
  <c r="T104" i="5"/>
  <c r="S104" i="5"/>
  <c r="AK103" i="5"/>
  <c r="AJ103" i="5"/>
  <c r="AC103" i="5"/>
  <c r="AA103" i="5"/>
  <c r="V103" i="5"/>
  <c r="T103" i="5"/>
  <c r="S103" i="5"/>
  <c r="AK102" i="5"/>
  <c r="AJ102" i="5"/>
  <c r="AC102" i="5"/>
  <c r="AA102" i="5"/>
  <c r="V102" i="5"/>
  <c r="T102" i="5"/>
  <c r="S102" i="5"/>
  <c r="AK101" i="5"/>
  <c r="AJ101" i="5"/>
  <c r="AC101" i="5"/>
  <c r="AA101" i="5"/>
  <c r="V101" i="5"/>
  <c r="T101" i="5"/>
  <c r="S101" i="5"/>
  <c r="AK100" i="5"/>
  <c r="AJ100" i="5"/>
  <c r="AC100" i="5"/>
  <c r="AA100" i="5"/>
  <c r="V100" i="5"/>
  <c r="T100" i="5"/>
  <c r="S100" i="5"/>
  <c r="AK99" i="5"/>
  <c r="AJ99" i="5"/>
  <c r="AC99" i="5"/>
  <c r="AA99" i="5"/>
  <c r="V99" i="5"/>
  <c r="T99" i="5"/>
  <c r="S99" i="5"/>
  <c r="AK98" i="5"/>
  <c r="AJ98" i="5"/>
  <c r="AC98" i="5"/>
  <c r="AA98" i="5"/>
  <c r="V98" i="5"/>
  <c r="T98" i="5"/>
  <c r="S98" i="5"/>
  <c r="AK97" i="5"/>
  <c r="AJ97" i="5"/>
  <c r="AC97" i="5"/>
  <c r="AA97" i="5"/>
  <c r="V97" i="5"/>
  <c r="T97" i="5"/>
  <c r="S97" i="5"/>
  <c r="AK96" i="5"/>
  <c r="AJ96" i="5"/>
  <c r="AC96" i="5"/>
  <c r="AA96" i="5"/>
  <c r="V96" i="5"/>
  <c r="T96" i="5"/>
  <c r="S96" i="5"/>
  <c r="AK95" i="5"/>
  <c r="AJ95" i="5"/>
  <c r="AC95" i="5"/>
  <c r="AA95" i="5"/>
  <c r="V95" i="5"/>
  <c r="T95" i="5"/>
  <c r="S95" i="5"/>
  <c r="AK94" i="5"/>
  <c r="AJ94" i="5"/>
  <c r="AC94" i="5"/>
  <c r="AA94" i="5"/>
  <c r="V94" i="5"/>
  <c r="T94" i="5"/>
  <c r="S94" i="5"/>
  <c r="AK93" i="5"/>
  <c r="AJ93" i="5"/>
  <c r="AC93" i="5"/>
  <c r="AA93" i="5"/>
  <c r="V93" i="5"/>
  <c r="T93" i="5"/>
  <c r="S93" i="5"/>
  <c r="AK92" i="5"/>
  <c r="AJ92" i="5"/>
  <c r="AC92" i="5"/>
  <c r="AA92" i="5"/>
  <c r="V92" i="5"/>
  <c r="T92" i="5"/>
  <c r="S92" i="5"/>
  <c r="AK91" i="5"/>
  <c r="AJ91" i="5"/>
  <c r="AC91" i="5"/>
  <c r="AA91" i="5"/>
  <c r="V91" i="5"/>
  <c r="T91" i="5"/>
  <c r="S91" i="5"/>
  <c r="AK90" i="5"/>
  <c r="AJ90" i="5"/>
  <c r="AC90" i="5"/>
  <c r="AA90" i="5"/>
  <c r="V90" i="5"/>
  <c r="T90" i="5"/>
  <c r="S90" i="5"/>
  <c r="AK89" i="5"/>
  <c r="AJ89" i="5"/>
  <c r="AC89" i="5"/>
  <c r="AA89" i="5"/>
  <c r="V89" i="5"/>
  <c r="T89" i="5"/>
  <c r="S89" i="5"/>
  <c r="AK88" i="5"/>
  <c r="AJ88" i="5"/>
  <c r="AC88" i="5"/>
  <c r="AA88" i="5"/>
  <c r="V88" i="5"/>
  <c r="T88" i="5"/>
  <c r="S88" i="5"/>
  <c r="AK87" i="5"/>
  <c r="AJ87" i="5"/>
  <c r="AC87" i="5"/>
  <c r="AA87" i="5"/>
  <c r="V87" i="5"/>
  <c r="T87" i="5"/>
  <c r="S87" i="5"/>
  <c r="AK86" i="5"/>
  <c r="AJ86" i="5"/>
  <c r="AC86" i="5"/>
  <c r="AA86" i="5"/>
  <c r="V86" i="5"/>
  <c r="T86" i="5"/>
  <c r="S86" i="5"/>
  <c r="AK85" i="5"/>
  <c r="AJ85" i="5"/>
  <c r="AC85" i="5"/>
  <c r="AA85" i="5"/>
  <c r="V85" i="5"/>
  <c r="T85" i="5"/>
  <c r="S85" i="5"/>
  <c r="AK84" i="5"/>
  <c r="AJ84" i="5"/>
  <c r="AC84" i="5"/>
  <c r="AA84" i="5"/>
  <c r="V84" i="5"/>
  <c r="T84" i="5"/>
  <c r="S84" i="5"/>
  <c r="AK83" i="5"/>
  <c r="AJ83" i="5"/>
  <c r="AC83" i="5"/>
  <c r="AA83" i="5"/>
  <c r="V83" i="5"/>
  <c r="T83" i="5"/>
  <c r="S83" i="5"/>
  <c r="AK82" i="5"/>
  <c r="AJ82" i="5"/>
  <c r="AC82" i="5"/>
  <c r="AA82" i="5"/>
  <c r="V82" i="5"/>
  <c r="T82" i="5"/>
  <c r="S82" i="5"/>
  <c r="AK81" i="5"/>
  <c r="AJ81" i="5"/>
  <c r="AC81" i="5"/>
  <c r="AA81" i="5"/>
  <c r="V81" i="5"/>
  <c r="T81" i="5"/>
  <c r="S81" i="5"/>
  <c r="AK80" i="5"/>
  <c r="AJ80" i="5"/>
  <c r="AC80" i="5"/>
  <c r="AA80" i="5"/>
  <c r="V80" i="5"/>
  <c r="T80" i="5"/>
  <c r="S80" i="5"/>
  <c r="AK79" i="5"/>
  <c r="AJ79" i="5"/>
  <c r="AC79" i="5"/>
  <c r="AA79" i="5"/>
  <c r="V79" i="5"/>
  <c r="T79" i="5"/>
  <c r="S79" i="5"/>
  <c r="AK78" i="5"/>
  <c r="AJ78" i="5"/>
  <c r="AC78" i="5"/>
  <c r="AA78" i="5"/>
  <c r="V78" i="5"/>
  <c r="T78" i="5"/>
  <c r="S78" i="5"/>
  <c r="AK77" i="5"/>
  <c r="AJ77" i="5"/>
  <c r="AC77" i="5"/>
  <c r="AA77" i="5"/>
  <c r="V77" i="5"/>
  <c r="T77" i="5"/>
  <c r="S77" i="5"/>
  <c r="AK76" i="5"/>
  <c r="AJ76" i="5"/>
  <c r="AC76" i="5"/>
  <c r="AA76" i="5"/>
  <c r="V76" i="5"/>
  <c r="T76" i="5"/>
  <c r="S76" i="5"/>
  <c r="AK75" i="5"/>
  <c r="AJ75" i="5"/>
  <c r="AC75" i="5"/>
  <c r="AA75" i="5"/>
  <c r="V75" i="5"/>
  <c r="T75" i="5"/>
  <c r="S75" i="5"/>
  <c r="AK74" i="5"/>
  <c r="AJ74" i="5"/>
  <c r="AC74" i="5"/>
  <c r="AA74" i="5"/>
  <c r="V74" i="5"/>
  <c r="T74" i="5"/>
  <c r="S74" i="5"/>
  <c r="AK73" i="5"/>
  <c r="AJ73" i="5"/>
  <c r="AC73" i="5"/>
  <c r="AA73" i="5"/>
  <c r="V73" i="5"/>
  <c r="T73" i="5"/>
  <c r="S73" i="5"/>
  <c r="AK72" i="5"/>
  <c r="AJ72" i="5"/>
  <c r="AC72" i="5"/>
  <c r="AA72" i="5"/>
  <c r="V72" i="5"/>
  <c r="T72" i="5"/>
  <c r="S72" i="5"/>
  <c r="AK71" i="5"/>
  <c r="AJ71" i="5"/>
  <c r="AC71" i="5"/>
  <c r="AA71" i="5"/>
  <c r="V71" i="5"/>
  <c r="T71" i="5"/>
  <c r="S71" i="5"/>
  <c r="AK70" i="5"/>
  <c r="AJ70" i="5"/>
  <c r="AC70" i="5"/>
  <c r="AA70" i="5"/>
  <c r="V70" i="5"/>
  <c r="T70" i="5"/>
  <c r="S70" i="5"/>
  <c r="AK69" i="5"/>
  <c r="AJ69" i="5"/>
  <c r="AC69" i="5"/>
  <c r="AA69" i="5"/>
  <c r="V69" i="5"/>
  <c r="T69" i="5"/>
  <c r="S69" i="5"/>
  <c r="AK68" i="5"/>
  <c r="AJ68" i="5"/>
  <c r="AC68" i="5"/>
  <c r="AA68" i="5"/>
  <c r="V68" i="5"/>
  <c r="T68" i="5"/>
  <c r="S68" i="5"/>
  <c r="AK67" i="5"/>
  <c r="AJ67" i="5"/>
  <c r="AC67" i="5"/>
  <c r="AA67" i="5"/>
  <c r="V67" i="5"/>
  <c r="T67" i="5"/>
  <c r="S67" i="5"/>
  <c r="AK66" i="5"/>
  <c r="AJ66" i="5"/>
  <c r="AC66" i="5"/>
  <c r="AA66" i="5"/>
  <c r="V66" i="5"/>
  <c r="T66" i="5"/>
  <c r="S66" i="5"/>
  <c r="AK65" i="5"/>
  <c r="AJ65" i="5"/>
  <c r="AC65" i="5"/>
  <c r="AA65" i="5"/>
  <c r="V65" i="5"/>
  <c r="T65" i="5"/>
  <c r="S65" i="5"/>
  <c r="AK64" i="5"/>
  <c r="AJ64" i="5"/>
  <c r="AC64" i="5"/>
  <c r="AA64" i="5"/>
  <c r="V64" i="5"/>
  <c r="T64" i="5"/>
  <c r="S64" i="5"/>
  <c r="AK63" i="5"/>
  <c r="AJ63" i="5"/>
  <c r="AC63" i="5"/>
  <c r="AA63" i="5"/>
  <c r="V63" i="5"/>
  <c r="T63" i="5"/>
  <c r="S63" i="5"/>
  <c r="AK62" i="5"/>
  <c r="AJ62" i="5"/>
  <c r="AC62" i="5"/>
  <c r="AA62" i="5"/>
  <c r="V62" i="5"/>
  <c r="T62" i="5"/>
  <c r="S62" i="5"/>
  <c r="AK61" i="5"/>
  <c r="AJ61" i="5"/>
  <c r="AC61" i="5"/>
  <c r="AA61" i="5"/>
  <c r="V61" i="5"/>
  <c r="T61" i="5"/>
  <c r="S61" i="5"/>
  <c r="AK60" i="5"/>
  <c r="AJ60" i="5"/>
  <c r="AC60" i="5"/>
  <c r="AA60" i="5"/>
  <c r="V60" i="5"/>
  <c r="T60" i="5"/>
  <c r="S60" i="5"/>
  <c r="AK59" i="5"/>
  <c r="AJ59" i="5"/>
  <c r="AC59" i="5"/>
  <c r="AA59" i="5"/>
  <c r="V59" i="5"/>
  <c r="T59" i="5"/>
  <c r="S59" i="5"/>
  <c r="AK58" i="5"/>
  <c r="AJ58" i="5"/>
  <c r="AC58" i="5"/>
  <c r="AA58" i="5"/>
  <c r="V58" i="5"/>
  <c r="T58" i="5"/>
  <c r="S58" i="5"/>
  <c r="AK57" i="5"/>
  <c r="AJ57" i="5"/>
  <c r="AC57" i="5"/>
  <c r="AA57" i="5"/>
  <c r="V57" i="5"/>
  <c r="T57" i="5"/>
  <c r="S57" i="5"/>
  <c r="AK56" i="5"/>
  <c r="AJ56" i="5"/>
  <c r="AC56" i="5"/>
  <c r="AA56" i="5"/>
  <c r="V56" i="5"/>
  <c r="T56" i="5"/>
  <c r="S56" i="5"/>
  <c r="AK55" i="5"/>
  <c r="AJ55" i="5"/>
  <c r="AC55" i="5"/>
  <c r="AA55" i="5"/>
  <c r="V55" i="5"/>
  <c r="T55" i="5"/>
  <c r="S55" i="5"/>
  <c r="AK54" i="5"/>
  <c r="AJ54" i="5"/>
  <c r="AC54" i="5"/>
  <c r="AA54" i="5"/>
  <c r="V54" i="5"/>
  <c r="T54" i="5"/>
  <c r="S54" i="5"/>
  <c r="AK53" i="5"/>
  <c r="AJ53" i="5"/>
  <c r="AC53" i="5"/>
  <c r="AA53" i="5"/>
  <c r="V53" i="5"/>
  <c r="T53" i="5"/>
  <c r="S53" i="5"/>
  <c r="AK52" i="5"/>
  <c r="AJ52" i="5"/>
  <c r="AC52" i="5"/>
  <c r="AA52" i="5"/>
  <c r="V52" i="5"/>
  <c r="T52" i="5"/>
  <c r="S52" i="5"/>
  <c r="AK51" i="5"/>
  <c r="AJ51" i="5"/>
  <c r="AC51" i="5"/>
  <c r="AA51" i="5"/>
  <c r="V51" i="5"/>
  <c r="T51" i="5"/>
  <c r="S51" i="5"/>
  <c r="AK50" i="5"/>
  <c r="AJ50" i="5"/>
  <c r="AC50" i="5"/>
  <c r="AA50" i="5"/>
  <c r="V50" i="5"/>
  <c r="T50" i="5"/>
  <c r="S50" i="5"/>
  <c r="AK49" i="5"/>
  <c r="AJ49" i="5"/>
  <c r="AC49" i="5"/>
  <c r="AA49" i="5"/>
  <c r="V49" i="5"/>
  <c r="T49" i="5"/>
  <c r="S49" i="5"/>
  <c r="AK48" i="5"/>
  <c r="AJ48" i="5"/>
  <c r="AC48" i="5"/>
  <c r="AA48" i="5"/>
  <c r="V48" i="5"/>
  <c r="T48" i="5"/>
  <c r="S48" i="5"/>
  <c r="AK47" i="5"/>
  <c r="AJ47" i="5"/>
  <c r="AC47" i="5"/>
  <c r="AA47" i="5"/>
  <c r="V47" i="5"/>
  <c r="T47" i="5"/>
  <c r="S47" i="5"/>
  <c r="AK46" i="5"/>
  <c r="AJ46" i="5"/>
  <c r="AC46" i="5"/>
  <c r="AA46" i="5"/>
  <c r="V46" i="5"/>
  <c r="T46" i="5"/>
  <c r="S46" i="5"/>
  <c r="AK45" i="5"/>
  <c r="AJ45" i="5"/>
  <c r="AC45" i="5"/>
  <c r="AA45" i="5"/>
  <c r="V45" i="5"/>
  <c r="T45" i="5"/>
  <c r="S45" i="5"/>
  <c r="AK44" i="5"/>
  <c r="AJ44" i="5"/>
  <c r="AC44" i="5"/>
  <c r="AA44" i="5"/>
  <c r="V44" i="5"/>
  <c r="T44" i="5"/>
  <c r="S44" i="5"/>
  <c r="AK43" i="5"/>
  <c r="AJ43" i="5"/>
  <c r="AC43" i="5"/>
  <c r="AA43" i="5"/>
  <c r="V43" i="5"/>
  <c r="T43" i="5"/>
  <c r="S43" i="5"/>
  <c r="AK42" i="5"/>
  <c r="AJ42" i="5"/>
  <c r="AC42" i="5"/>
  <c r="AA42" i="5"/>
  <c r="V42" i="5"/>
  <c r="T42" i="5"/>
  <c r="S42" i="5"/>
  <c r="AK41" i="5"/>
  <c r="AJ41" i="5"/>
  <c r="AC41" i="5"/>
  <c r="AA41" i="5"/>
  <c r="V41" i="5"/>
  <c r="T41" i="5"/>
  <c r="S41" i="5"/>
  <c r="AK40" i="5"/>
  <c r="AJ40" i="5"/>
  <c r="AC40" i="5"/>
  <c r="AA40" i="5"/>
  <c r="V40" i="5"/>
  <c r="T40" i="5"/>
  <c r="S40" i="5"/>
  <c r="AK39" i="5"/>
  <c r="AJ39" i="5"/>
  <c r="AC39" i="5"/>
  <c r="AA39" i="5"/>
  <c r="V39" i="5"/>
  <c r="T39" i="5"/>
  <c r="S39" i="5"/>
  <c r="AK38" i="5"/>
  <c r="AJ38" i="5"/>
  <c r="AC38" i="5"/>
  <c r="AA38" i="5"/>
  <c r="V38" i="5"/>
  <c r="T38" i="5"/>
  <c r="S38" i="5"/>
  <c r="AK37" i="5"/>
  <c r="AJ37" i="5"/>
  <c r="AC37" i="5"/>
  <c r="AA37" i="5"/>
  <c r="V37" i="5"/>
  <c r="T37" i="5"/>
  <c r="S37" i="5"/>
  <c r="AK36" i="5"/>
  <c r="AJ36" i="5"/>
  <c r="AC36" i="5"/>
  <c r="AA36" i="5"/>
  <c r="V36" i="5"/>
  <c r="T36" i="5"/>
  <c r="S36" i="5"/>
  <c r="AK35" i="5"/>
  <c r="AJ35" i="5"/>
  <c r="AC35" i="5"/>
  <c r="AA35" i="5"/>
  <c r="V35" i="5"/>
  <c r="T35" i="5"/>
  <c r="S35" i="5"/>
  <c r="AK34" i="5"/>
  <c r="AJ34" i="5"/>
  <c r="AC34" i="5"/>
  <c r="AA34" i="5"/>
  <c r="V34" i="5"/>
  <c r="T34" i="5"/>
  <c r="S34" i="5"/>
  <c r="AK33" i="5"/>
  <c r="AJ33" i="5"/>
  <c r="AC33" i="5"/>
  <c r="AA33" i="5"/>
  <c r="V33" i="5"/>
  <c r="T33" i="5"/>
  <c r="S33" i="5"/>
  <c r="AK32" i="5"/>
  <c r="AJ32" i="5"/>
  <c r="AC32" i="5"/>
  <c r="AA32" i="5"/>
  <c r="V32" i="5"/>
  <c r="T32" i="5"/>
  <c r="S32" i="5"/>
  <c r="AK31" i="5"/>
  <c r="AJ31" i="5"/>
  <c r="AC31" i="5"/>
  <c r="AA31" i="5"/>
  <c r="V31" i="5"/>
  <c r="T31" i="5"/>
  <c r="S31" i="5"/>
  <c r="AK30" i="5"/>
  <c r="AJ30" i="5"/>
  <c r="AC30" i="5"/>
  <c r="AA30" i="5"/>
  <c r="V30" i="5"/>
  <c r="T30" i="5"/>
  <c r="S30" i="5"/>
  <c r="AK29" i="5"/>
  <c r="AJ29" i="5"/>
  <c r="AC29" i="5"/>
  <c r="AA29" i="5"/>
  <c r="V29" i="5"/>
  <c r="T29" i="5"/>
  <c r="S29" i="5"/>
  <c r="AK28" i="5"/>
  <c r="AJ28" i="5"/>
  <c r="AC28" i="5"/>
  <c r="AA28" i="5"/>
  <c r="V28" i="5"/>
  <c r="T28" i="5"/>
  <c r="S28" i="5"/>
  <c r="AK27" i="5"/>
  <c r="AJ27" i="5"/>
  <c r="AC27" i="5"/>
  <c r="AA27" i="5"/>
  <c r="V27" i="5"/>
  <c r="T27" i="5"/>
  <c r="S27" i="5"/>
  <c r="AK26" i="5"/>
  <c r="AJ26" i="5"/>
  <c r="AC26" i="5"/>
  <c r="AA26" i="5"/>
  <c r="V26" i="5"/>
  <c r="T26" i="5"/>
  <c r="S26" i="5"/>
  <c r="AK25" i="5"/>
  <c r="AJ25" i="5"/>
  <c r="AC25" i="5"/>
  <c r="AA25" i="5"/>
  <c r="V25" i="5"/>
  <c r="T25" i="5"/>
  <c r="S25" i="5"/>
  <c r="AK24" i="5"/>
  <c r="AJ24" i="5"/>
  <c r="AC24" i="5"/>
  <c r="AA24" i="5"/>
  <c r="V24" i="5"/>
  <c r="T24" i="5"/>
  <c r="S24" i="5"/>
  <c r="AK23" i="5"/>
  <c r="AJ23" i="5"/>
  <c r="AC23" i="5"/>
  <c r="AA23" i="5"/>
  <c r="V23" i="5"/>
  <c r="T23" i="5"/>
  <c r="S23" i="5"/>
  <c r="AK22" i="5"/>
  <c r="AJ22" i="5"/>
  <c r="AC22" i="5"/>
  <c r="AA22" i="5"/>
  <c r="V22" i="5"/>
  <c r="T22" i="5"/>
  <c r="S22" i="5"/>
  <c r="AK21" i="5"/>
  <c r="AJ21" i="5"/>
  <c r="AC21" i="5"/>
  <c r="AA21" i="5"/>
  <c r="V21" i="5"/>
  <c r="T21" i="5"/>
  <c r="S21" i="5"/>
  <c r="AK20" i="5"/>
  <c r="AJ20" i="5"/>
  <c r="AC20" i="5"/>
  <c r="AA20" i="5"/>
  <c r="V20" i="5"/>
  <c r="T20" i="5"/>
  <c r="S20" i="5"/>
  <c r="AK19" i="5"/>
  <c r="AJ19" i="5"/>
  <c r="AC19" i="5"/>
  <c r="AA19" i="5"/>
  <c r="V19" i="5"/>
  <c r="T19" i="5"/>
  <c r="S19" i="5"/>
  <c r="AK18" i="5"/>
  <c r="AJ18" i="5"/>
  <c r="AC18" i="5"/>
  <c r="AA18" i="5"/>
  <c r="V18" i="5"/>
  <c r="T18" i="5"/>
  <c r="S18" i="5"/>
  <c r="AK17" i="5"/>
  <c r="AJ17" i="5"/>
  <c r="AC17" i="5"/>
  <c r="AA17" i="5"/>
  <c r="V17" i="5"/>
  <c r="T17" i="5"/>
  <c r="S17" i="5"/>
  <c r="AK16" i="5"/>
  <c r="AJ16" i="5"/>
  <c r="AC16" i="5"/>
  <c r="AA16" i="5"/>
  <c r="V16" i="5"/>
  <c r="T16" i="5"/>
  <c r="S16" i="5"/>
  <c r="AK15" i="5"/>
  <c r="AJ15" i="5"/>
  <c r="AC15" i="5"/>
  <c r="AA15" i="5"/>
  <c r="V15" i="5"/>
  <c r="T15" i="5"/>
  <c r="S15" i="5"/>
  <c r="AK14" i="5"/>
  <c r="AJ14" i="5"/>
  <c r="AC14" i="5"/>
  <c r="AA14" i="5"/>
  <c r="V14" i="5"/>
  <c r="T14" i="5"/>
  <c r="S14" i="5"/>
  <c r="AJ13" i="5"/>
  <c r="AC13" i="5"/>
  <c r="V13" i="5"/>
  <c r="AJ12" i="5"/>
  <c r="AC12" i="5"/>
  <c r="V12" i="5"/>
  <c r="AJ11" i="5"/>
  <c r="AC11" i="5"/>
  <c r="V11" i="5"/>
  <c r="AJ10" i="5"/>
  <c r="AC10" i="5"/>
  <c r="V10" i="5"/>
  <c r="AJ9" i="5"/>
  <c r="AC9" i="5"/>
  <c r="V9" i="5"/>
  <c r="AJ8" i="5"/>
  <c r="AC8" i="5"/>
  <c r="V8" i="5"/>
  <c r="AJ7" i="5"/>
  <c r="AC7" i="5"/>
  <c r="V7" i="5"/>
  <c r="AJ6" i="5"/>
  <c r="AC6" i="5"/>
  <c r="V6" i="5"/>
  <c r="I17" i="4"/>
  <c r="I16" i="4"/>
  <c r="I15" i="4"/>
  <c r="F37" i="3"/>
  <c r="E37" i="3"/>
  <c r="D37" i="3"/>
  <c r="C37" i="3"/>
  <c r="B37" i="3"/>
  <c r="F36" i="3"/>
  <c r="E36" i="3"/>
  <c r="D36" i="3"/>
  <c r="C36" i="3"/>
  <c r="B36" i="3"/>
  <c r="F35" i="3"/>
  <c r="E35" i="3"/>
  <c r="D35" i="3"/>
  <c r="C35" i="3"/>
  <c r="B35" i="3"/>
  <c r="F34" i="3"/>
  <c r="E34" i="3"/>
  <c r="D34" i="3"/>
  <c r="C34" i="3"/>
  <c r="B34" i="3"/>
  <c r="F33" i="3"/>
  <c r="E33" i="3"/>
  <c r="D33" i="3"/>
  <c r="C33" i="3"/>
  <c r="B33" i="3"/>
  <c r="C28" i="3"/>
  <c r="C27" i="3"/>
  <c r="C26" i="3"/>
  <c r="B4" i="3"/>
  <c r="A42" i="2"/>
  <c r="A41" i="2"/>
  <c r="A40" i="2"/>
  <c r="A39" i="2"/>
  <c r="A38" i="2"/>
  <c r="A37" i="2"/>
  <c r="A36" i="2"/>
  <c r="A35" i="2"/>
  <c r="A34" i="2"/>
  <c r="A33" i="2"/>
  <c r="A32" i="2"/>
  <c r="A31" i="2"/>
  <c r="E18" i="2"/>
  <c r="E17" i="2"/>
  <c r="E16" i="2"/>
  <c r="E15" i="2"/>
  <c r="B5" i="2"/>
  <c r="S8" i="13" l="1"/>
  <c r="A6" i="18"/>
  <c r="N61" i="12"/>
  <c r="O61" i="12" s="1"/>
  <c r="U61" i="12" s="1"/>
  <c r="N38" i="12"/>
  <c r="O38" i="12" s="1"/>
  <c r="U38" i="12" s="1"/>
  <c r="N46" i="12"/>
  <c r="O46" i="12" s="1"/>
  <c r="U46" i="12" s="1"/>
  <c r="B16" i="21"/>
  <c r="J57" i="13"/>
  <c r="R57" i="13"/>
  <c r="AA57" i="13"/>
  <c r="Z57" i="13"/>
  <c r="O56" i="13"/>
  <c r="K56" i="13"/>
  <c r="T56" i="13" s="1"/>
  <c r="N56" i="13"/>
  <c r="J56" i="13"/>
  <c r="R56" i="13"/>
  <c r="AA56" i="13"/>
  <c r="Z56" i="13"/>
  <c r="Q56" i="13"/>
  <c r="Z55" i="13"/>
  <c r="R55" i="13"/>
  <c r="AA55" i="13"/>
  <c r="Q55" i="13"/>
  <c r="O55" i="13"/>
  <c r="N55" i="13"/>
  <c r="K55" i="13"/>
  <c r="T55" i="13" s="1"/>
  <c r="J55" i="13"/>
  <c r="O54" i="13"/>
  <c r="N54" i="13"/>
  <c r="K54" i="13"/>
  <c r="T54" i="13" s="1"/>
  <c r="R54" i="13"/>
  <c r="J54" i="13"/>
  <c r="AA54" i="13"/>
  <c r="Z54" i="13"/>
  <c r="Q54" i="13"/>
  <c r="O53" i="13"/>
  <c r="N53" i="13"/>
  <c r="K53" i="13"/>
  <c r="T53" i="13" s="1"/>
  <c r="J53" i="13"/>
  <c r="R53" i="13"/>
  <c r="AA53" i="13"/>
  <c r="Z53" i="13"/>
  <c r="Q53" i="13"/>
  <c r="R52" i="13"/>
  <c r="AA52" i="13"/>
  <c r="Z52" i="13"/>
  <c r="Q52" i="13"/>
  <c r="O52" i="13"/>
  <c r="N52" i="13"/>
  <c r="K52" i="13"/>
  <c r="T52" i="13" s="1"/>
  <c r="J52" i="13"/>
  <c r="R51" i="13"/>
  <c r="AA51" i="13"/>
  <c r="Z51" i="13"/>
  <c r="Q51" i="13"/>
  <c r="O51" i="13"/>
  <c r="N51" i="13"/>
  <c r="K51" i="13"/>
  <c r="T51" i="13" s="1"/>
  <c r="J51" i="13"/>
  <c r="N50" i="13"/>
  <c r="K50" i="13"/>
  <c r="T50" i="13" s="1"/>
  <c r="J50" i="13"/>
  <c r="O50" i="13"/>
  <c r="R50" i="13"/>
  <c r="AA50" i="13"/>
  <c r="Z50" i="13"/>
  <c r="Q50" i="13"/>
  <c r="O49" i="13"/>
  <c r="K49" i="13"/>
  <c r="T49" i="13" s="1"/>
  <c r="J49" i="13"/>
  <c r="N49" i="13"/>
  <c r="R49" i="13"/>
  <c r="AA49" i="13"/>
  <c r="Z49" i="13"/>
  <c r="Q49" i="13"/>
  <c r="Z48" i="13"/>
  <c r="AA48" i="13"/>
  <c r="R48" i="13"/>
  <c r="Q48" i="13"/>
  <c r="O48" i="13"/>
  <c r="N48" i="13"/>
  <c r="K48" i="13"/>
  <c r="T48" i="13" s="1"/>
  <c r="J48" i="13"/>
  <c r="O47" i="13"/>
  <c r="N47" i="13"/>
  <c r="K47" i="13"/>
  <c r="T47" i="13" s="1"/>
  <c r="Z47" i="13"/>
  <c r="R47" i="13"/>
  <c r="AA47" i="13"/>
  <c r="J47" i="13"/>
  <c r="Q47" i="13"/>
  <c r="O46" i="13"/>
  <c r="N46" i="13"/>
  <c r="K46" i="13"/>
  <c r="T46" i="13" s="1"/>
  <c r="J46" i="13"/>
  <c r="R46" i="13"/>
  <c r="AA46" i="13"/>
  <c r="Z46" i="13"/>
  <c r="Q46" i="13"/>
  <c r="R45" i="13"/>
  <c r="AA45" i="13"/>
  <c r="Z45" i="13"/>
  <c r="Q45" i="13"/>
  <c r="O45" i="13"/>
  <c r="N45" i="13"/>
  <c r="K45" i="13"/>
  <c r="T45" i="13" s="1"/>
  <c r="J45" i="13"/>
  <c r="R44" i="13"/>
  <c r="AA44" i="13"/>
  <c r="Z44" i="13"/>
  <c r="Q44" i="13"/>
  <c r="O44" i="13"/>
  <c r="N44" i="13"/>
  <c r="K44" i="13"/>
  <c r="T44" i="13" s="1"/>
  <c r="J44" i="13"/>
  <c r="O43" i="13"/>
  <c r="N43" i="13"/>
  <c r="K43" i="13"/>
  <c r="T43" i="13" s="1"/>
  <c r="J43" i="13"/>
  <c r="R43" i="13"/>
  <c r="AA43" i="13"/>
  <c r="Z43" i="13"/>
  <c r="Q43" i="13"/>
  <c r="O42" i="13"/>
  <c r="N42" i="13"/>
  <c r="K42" i="13"/>
  <c r="T42" i="13" s="1"/>
  <c r="J42" i="13"/>
  <c r="R42" i="13"/>
  <c r="AA42" i="13"/>
  <c r="Z42" i="13"/>
  <c r="Q42" i="13"/>
  <c r="Q41" i="13"/>
  <c r="R41" i="13"/>
  <c r="AA41" i="13"/>
  <c r="Z41" i="13"/>
  <c r="O41" i="13"/>
  <c r="N41" i="13"/>
  <c r="K41" i="13"/>
  <c r="T41" i="13" s="1"/>
  <c r="J41" i="13"/>
  <c r="Z40" i="13"/>
  <c r="R40" i="13"/>
  <c r="AA40" i="13"/>
  <c r="Q40" i="13"/>
  <c r="O40" i="13"/>
  <c r="N40" i="13"/>
  <c r="K40" i="13"/>
  <c r="T40" i="13" s="1"/>
  <c r="J40" i="13"/>
  <c r="O39" i="13"/>
  <c r="N39" i="13"/>
  <c r="K39" i="13"/>
  <c r="T39" i="13" s="1"/>
  <c r="J39" i="13"/>
  <c r="R39" i="13"/>
  <c r="AA39" i="13"/>
  <c r="Z39" i="13"/>
  <c r="Q39" i="13"/>
  <c r="O38" i="13"/>
  <c r="N38" i="13"/>
  <c r="K38" i="13"/>
  <c r="T38" i="13" s="1"/>
  <c r="J38" i="13"/>
  <c r="R38" i="13"/>
  <c r="AA38" i="13"/>
  <c r="Z38" i="13"/>
  <c r="Q38" i="13"/>
  <c r="R37" i="13"/>
  <c r="AA37" i="13"/>
  <c r="Z37" i="13"/>
  <c r="Q37" i="13"/>
  <c r="O37" i="13"/>
  <c r="N37" i="13"/>
  <c r="K37" i="13"/>
  <c r="T37" i="13" s="1"/>
  <c r="J37" i="13"/>
  <c r="R36" i="13"/>
  <c r="AA36" i="13"/>
  <c r="Z36" i="13"/>
  <c r="Q36" i="13"/>
  <c r="O36" i="13"/>
  <c r="N36" i="13"/>
  <c r="K36" i="13"/>
  <c r="T36" i="13" s="1"/>
  <c r="J36" i="13"/>
  <c r="K35" i="13"/>
  <c r="T35" i="13" s="1"/>
  <c r="J35" i="13"/>
  <c r="O35" i="13"/>
  <c r="N35" i="13"/>
  <c r="R35" i="13"/>
  <c r="AA35" i="13"/>
  <c r="Z35" i="13"/>
  <c r="Q35" i="13"/>
  <c r="O34" i="13"/>
  <c r="K34" i="13"/>
  <c r="T34" i="13" s="1"/>
  <c r="J34" i="13"/>
  <c r="N34" i="13"/>
  <c r="R34" i="13"/>
  <c r="AA34" i="13"/>
  <c r="Z34" i="13"/>
  <c r="Q34" i="13"/>
  <c r="Z33" i="13"/>
  <c r="R33" i="13"/>
  <c r="AA33" i="13"/>
  <c r="Q33" i="13"/>
  <c r="O33" i="13"/>
  <c r="N33" i="13"/>
  <c r="K33" i="13"/>
  <c r="T33" i="13" s="1"/>
  <c r="J33" i="13"/>
  <c r="O32" i="13"/>
  <c r="N32" i="13"/>
  <c r="K32" i="13"/>
  <c r="T32" i="13" s="1"/>
  <c r="AA32" i="13"/>
  <c r="R32" i="13"/>
  <c r="J32" i="13"/>
  <c r="Z32" i="13"/>
  <c r="Q32" i="13"/>
  <c r="O31" i="13"/>
  <c r="N31" i="13"/>
  <c r="J31" i="13"/>
  <c r="K31" i="13"/>
  <c r="T31" i="13" s="1"/>
  <c r="R31" i="13"/>
  <c r="AA31" i="13"/>
  <c r="Z31" i="13"/>
  <c r="Q31" i="13"/>
  <c r="R30" i="13"/>
  <c r="AA30" i="13"/>
  <c r="Z30" i="13"/>
  <c r="Q30" i="13"/>
  <c r="O30" i="13"/>
  <c r="N30" i="13"/>
  <c r="K30" i="13"/>
  <c r="T30" i="13" s="1"/>
  <c r="J30" i="13"/>
  <c r="R29" i="13"/>
  <c r="AA29" i="13"/>
  <c r="Z29" i="13"/>
  <c r="Q29" i="13"/>
  <c r="O29" i="13"/>
  <c r="N29" i="13"/>
  <c r="K29" i="13"/>
  <c r="T29" i="13" s="1"/>
  <c r="J29" i="13"/>
  <c r="O28" i="13"/>
  <c r="N28" i="13"/>
  <c r="K28" i="13"/>
  <c r="T28" i="13" s="1"/>
  <c r="J28" i="13"/>
  <c r="R28" i="13"/>
  <c r="AA28" i="13"/>
  <c r="Z28" i="13"/>
  <c r="Q28" i="13"/>
  <c r="N27" i="13"/>
  <c r="K27" i="13"/>
  <c r="T27" i="13" s="1"/>
  <c r="J27" i="13"/>
  <c r="O27" i="13"/>
  <c r="R27" i="13"/>
  <c r="AA27" i="13"/>
  <c r="Z27" i="13"/>
  <c r="Q27" i="13"/>
  <c r="Z26" i="13"/>
  <c r="R26" i="13"/>
  <c r="AA26" i="13"/>
  <c r="Q26" i="13"/>
  <c r="O26" i="13"/>
  <c r="N26" i="13"/>
  <c r="K26" i="13"/>
  <c r="T26" i="13" s="1"/>
  <c r="J26" i="13"/>
  <c r="O25" i="13"/>
  <c r="N25" i="13"/>
  <c r="K25" i="13"/>
  <c r="T25" i="13" s="1"/>
  <c r="R25" i="13"/>
  <c r="J25" i="13"/>
  <c r="AA25" i="13"/>
  <c r="Z25" i="13"/>
  <c r="Q25" i="13"/>
  <c r="O24" i="13"/>
  <c r="N24" i="13"/>
  <c r="K24" i="13"/>
  <c r="T24" i="13" s="1"/>
  <c r="J24" i="13"/>
  <c r="R24" i="13"/>
  <c r="AA24" i="13"/>
  <c r="Z24" i="13"/>
  <c r="Q24" i="13"/>
  <c r="R23" i="13"/>
  <c r="AA23" i="13"/>
  <c r="Z23" i="13"/>
  <c r="Q23" i="13"/>
  <c r="O23" i="13"/>
  <c r="N23" i="13"/>
  <c r="K23" i="13"/>
  <c r="T23" i="13" s="1"/>
  <c r="J23" i="13"/>
  <c r="R22" i="13"/>
  <c r="AA22" i="13"/>
  <c r="Z22" i="13"/>
  <c r="Q22" i="13"/>
  <c r="O22" i="13"/>
  <c r="N22" i="13"/>
  <c r="K22" i="13"/>
  <c r="T22" i="13" s="1"/>
  <c r="J22" i="13"/>
  <c r="N21" i="13"/>
  <c r="K21" i="13"/>
  <c r="T21" i="13" s="1"/>
  <c r="J21" i="13"/>
  <c r="O21" i="13"/>
  <c r="R21" i="13"/>
  <c r="AA21" i="13"/>
  <c r="Z21" i="13"/>
  <c r="Q21" i="13"/>
  <c r="O20" i="13"/>
  <c r="N20" i="13"/>
  <c r="K20" i="13"/>
  <c r="T20" i="13" s="1"/>
  <c r="J20" i="13"/>
  <c r="R20" i="13"/>
  <c r="AA20" i="13"/>
  <c r="Z20" i="13"/>
  <c r="Q20" i="13"/>
  <c r="Z19" i="13"/>
  <c r="R19" i="13"/>
  <c r="AA19" i="13"/>
  <c r="Q19" i="13"/>
  <c r="O19" i="13"/>
  <c r="N19" i="13"/>
  <c r="K19" i="13"/>
  <c r="T19" i="13" s="1"/>
  <c r="J19" i="13"/>
  <c r="O18" i="13"/>
  <c r="N18" i="13"/>
  <c r="K18" i="13"/>
  <c r="T18" i="13" s="1"/>
  <c r="Z18" i="13"/>
  <c r="R18" i="13"/>
  <c r="AA18" i="13"/>
  <c r="J18" i="13"/>
  <c r="Q18" i="13"/>
  <c r="K17" i="13"/>
  <c r="T17" i="13" s="1"/>
  <c r="B15" i="21"/>
  <c r="J17" i="13"/>
  <c r="R17" i="13"/>
  <c r="AA17" i="13"/>
  <c r="Z17" i="13"/>
  <c r="Q17" i="13"/>
  <c r="O17" i="13"/>
  <c r="N17" i="13"/>
  <c r="R16" i="13"/>
  <c r="AA16" i="13"/>
  <c r="Z16" i="13"/>
  <c r="Q16" i="13"/>
  <c r="O16" i="13"/>
  <c r="N16" i="13"/>
  <c r="K16" i="13"/>
  <c r="T16" i="13" s="1"/>
  <c r="J16" i="13"/>
  <c r="R15" i="13"/>
  <c r="AA15" i="13"/>
  <c r="Z15" i="13"/>
  <c r="Q15" i="13"/>
  <c r="O15" i="13"/>
  <c r="N15" i="13"/>
  <c r="K15" i="13"/>
  <c r="T15" i="13" s="1"/>
  <c r="J15" i="13"/>
  <c r="K14" i="13"/>
  <c r="T14" i="13" s="1"/>
  <c r="J14" i="13"/>
  <c r="R14" i="13"/>
  <c r="AA14" i="13"/>
  <c r="Z14" i="13"/>
  <c r="Q14" i="13"/>
  <c r="O14" i="13"/>
  <c r="N14" i="13"/>
  <c r="K13" i="13"/>
  <c r="T13" i="13" s="1"/>
  <c r="J13" i="13"/>
  <c r="R13" i="13"/>
  <c r="AA13" i="13"/>
  <c r="Z13" i="13"/>
  <c r="Q13" i="13"/>
  <c r="O13" i="13"/>
  <c r="N13" i="13"/>
  <c r="AA12" i="13"/>
  <c r="Z12" i="13"/>
  <c r="J12" i="13"/>
  <c r="J11" i="13"/>
  <c r="K11" i="13" s="1"/>
  <c r="AA11" i="13"/>
  <c r="Z11" i="13"/>
  <c r="N11" i="13"/>
  <c r="J10" i="13"/>
  <c r="K10" i="13" s="1"/>
  <c r="AA10" i="13"/>
  <c r="Z10" i="13"/>
  <c r="N10" i="13"/>
  <c r="AA9" i="13"/>
  <c r="Z9" i="13"/>
  <c r="J9" i="13"/>
  <c r="H5" i="13"/>
  <c r="AA8" i="13"/>
  <c r="Z8" i="13"/>
  <c r="J8" i="13"/>
  <c r="N105" i="5"/>
  <c r="M105" i="5"/>
  <c r="I105" i="5"/>
  <c r="N104" i="5"/>
  <c r="M104" i="5"/>
  <c r="I104" i="5"/>
  <c r="M103" i="5"/>
  <c r="I103" i="5"/>
  <c r="N103" i="5"/>
  <c r="I102" i="5"/>
  <c r="N102" i="5"/>
  <c r="M102" i="5"/>
  <c r="O102" i="5" s="1"/>
  <c r="M101" i="5"/>
  <c r="N101" i="5"/>
  <c r="I101" i="5"/>
  <c r="M100" i="5"/>
  <c r="N100" i="5"/>
  <c r="I100" i="5"/>
  <c r="I99" i="5"/>
  <c r="M99" i="5"/>
  <c r="N99" i="5"/>
  <c r="I98" i="5"/>
  <c r="M98" i="5"/>
  <c r="N98" i="5"/>
  <c r="M97" i="5"/>
  <c r="I97" i="5"/>
  <c r="N97" i="5"/>
  <c r="I96" i="5"/>
  <c r="M96" i="5"/>
  <c r="N96" i="5"/>
  <c r="I95" i="5"/>
  <c r="M95" i="5"/>
  <c r="N95" i="5"/>
  <c r="N94" i="5"/>
  <c r="M94" i="5"/>
  <c r="O94" i="5" s="1"/>
  <c r="I94" i="5"/>
  <c r="N93" i="5"/>
  <c r="M93" i="5"/>
  <c r="I93" i="5"/>
  <c r="I92" i="5"/>
  <c r="M92" i="5"/>
  <c r="N92" i="5"/>
  <c r="N91" i="5"/>
  <c r="I91" i="5"/>
  <c r="M91" i="5"/>
  <c r="O91" i="5" s="1"/>
  <c r="N90" i="5"/>
  <c r="M90" i="5"/>
  <c r="O90" i="5" s="1"/>
  <c r="I90" i="5"/>
  <c r="I89" i="5"/>
  <c r="M89" i="5"/>
  <c r="N89" i="5"/>
  <c r="I88" i="5"/>
  <c r="M88" i="5"/>
  <c r="N88" i="5"/>
  <c r="M87" i="5"/>
  <c r="N87" i="5"/>
  <c r="I87" i="5"/>
  <c r="I86" i="5"/>
  <c r="M86" i="5"/>
  <c r="N86" i="5"/>
  <c r="M85" i="5"/>
  <c r="N85" i="5"/>
  <c r="I85" i="5"/>
  <c r="M84" i="5"/>
  <c r="N84" i="5"/>
  <c r="I84" i="5"/>
  <c r="I83" i="5"/>
  <c r="M83" i="5"/>
  <c r="N83" i="5"/>
  <c r="M82" i="5"/>
  <c r="I82" i="5"/>
  <c r="N82" i="5"/>
  <c r="N81" i="5"/>
  <c r="M81" i="5"/>
  <c r="I81" i="5"/>
  <c r="I80" i="5"/>
  <c r="N80" i="5"/>
  <c r="M80" i="5"/>
  <c r="O80" i="5" s="1"/>
  <c r="N79" i="5"/>
  <c r="M79" i="5"/>
  <c r="I79" i="5"/>
  <c r="I78" i="5"/>
  <c r="N78" i="5"/>
  <c r="M78" i="5"/>
  <c r="M77" i="5"/>
  <c r="I77" i="5"/>
  <c r="N77" i="5"/>
  <c r="M76" i="5"/>
  <c r="I76" i="5"/>
  <c r="N76" i="5"/>
  <c r="M75" i="5"/>
  <c r="N75" i="5"/>
  <c r="I75" i="5"/>
  <c r="N74" i="5"/>
  <c r="M74" i="5"/>
  <c r="O74" i="5" s="1"/>
  <c r="I74" i="5"/>
  <c r="I73" i="5"/>
  <c r="N73" i="5"/>
  <c r="M73" i="5"/>
  <c r="N72" i="5"/>
  <c r="M72" i="5"/>
  <c r="I72" i="5"/>
  <c r="I71" i="5"/>
  <c r="M71" i="5"/>
  <c r="N71" i="5"/>
  <c r="N70" i="5"/>
  <c r="M70" i="5"/>
  <c r="I70" i="5"/>
  <c r="N69" i="5"/>
  <c r="I69" i="5"/>
  <c r="M69" i="5"/>
  <c r="I68" i="5"/>
  <c r="M68" i="5"/>
  <c r="N68" i="5"/>
  <c r="N67" i="5"/>
  <c r="M67" i="5"/>
  <c r="O67" i="5" s="1"/>
  <c r="I67" i="5"/>
  <c r="N66" i="5"/>
  <c r="I66" i="5"/>
  <c r="M66" i="5"/>
  <c r="N65" i="5"/>
  <c r="I65" i="5"/>
  <c r="M65" i="5"/>
  <c r="M64" i="5"/>
  <c r="N64" i="5"/>
  <c r="I64" i="5"/>
  <c r="M63" i="5"/>
  <c r="I63" i="5"/>
  <c r="N63" i="5"/>
  <c r="N62" i="5"/>
  <c r="M62" i="5"/>
  <c r="O62" i="5" s="1"/>
  <c r="I62" i="5"/>
  <c r="M61" i="5"/>
  <c r="N61" i="5"/>
  <c r="I61" i="5"/>
  <c r="M60" i="5"/>
  <c r="I60" i="5"/>
  <c r="N60" i="5"/>
  <c r="N59" i="5"/>
  <c r="M59" i="5"/>
  <c r="I59" i="5"/>
  <c r="I58" i="5"/>
  <c r="M58" i="5"/>
  <c r="N58" i="5"/>
  <c r="M57" i="5"/>
  <c r="N57" i="5"/>
  <c r="I57" i="5"/>
  <c r="N56" i="5"/>
  <c r="M56" i="5"/>
  <c r="O56" i="5" s="1"/>
  <c r="I56" i="5"/>
  <c r="N55" i="5"/>
  <c r="M55" i="5"/>
  <c r="I55" i="5"/>
  <c r="I54" i="5"/>
  <c r="M54" i="5"/>
  <c r="N54" i="5"/>
  <c r="I53" i="5"/>
  <c r="N53" i="5"/>
  <c r="M53" i="5"/>
  <c r="O53" i="5" s="1"/>
  <c r="N52" i="5"/>
  <c r="I52" i="5"/>
  <c r="M52" i="5"/>
  <c r="N51" i="5"/>
  <c r="M51" i="5"/>
  <c r="I51" i="5"/>
  <c r="N50" i="5"/>
  <c r="M50" i="5"/>
  <c r="I50" i="5"/>
  <c r="M49" i="5"/>
  <c r="N49" i="5"/>
  <c r="I49" i="5"/>
  <c r="M48" i="5"/>
  <c r="N48" i="5"/>
  <c r="I48" i="5"/>
  <c r="M47" i="5"/>
  <c r="N47" i="5"/>
  <c r="I47" i="5"/>
  <c r="N46" i="5"/>
  <c r="M46" i="5"/>
  <c r="I46" i="5"/>
  <c r="I45" i="5"/>
  <c r="N45" i="5"/>
  <c r="M45" i="5"/>
  <c r="O45" i="5" s="1"/>
  <c r="M44" i="5"/>
  <c r="I44" i="5"/>
  <c r="N44" i="5"/>
  <c r="I43" i="5"/>
  <c r="N43" i="5"/>
  <c r="M43" i="5"/>
  <c r="I42" i="5"/>
  <c r="N42" i="5"/>
  <c r="M42" i="5"/>
  <c r="M41" i="5"/>
  <c r="I41" i="5"/>
  <c r="N41" i="5"/>
  <c r="I40" i="5"/>
  <c r="M40" i="5"/>
  <c r="N40" i="5"/>
  <c r="N39" i="5"/>
  <c r="I39" i="5"/>
  <c r="M39" i="5"/>
  <c r="N38" i="5"/>
  <c r="M38" i="5"/>
  <c r="O38" i="5" s="1"/>
  <c r="I38" i="5"/>
  <c r="N37" i="5"/>
  <c r="M37" i="5"/>
  <c r="O37" i="5" s="1"/>
  <c r="I37" i="5"/>
  <c r="M36" i="5"/>
  <c r="N36" i="5"/>
  <c r="I36" i="5"/>
  <c r="M35" i="5"/>
  <c r="I35" i="5"/>
  <c r="N35" i="5"/>
  <c r="M34" i="5"/>
  <c r="N34" i="5"/>
  <c r="I34" i="5"/>
  <c r="I33" i="5"/>
  <c r="N33" i="5"/>
  <c r="M33" i="5"/>
  <c r="M32" i="5"/>
  <c r="N32" i="5"/>
  <c r="I32" i="5"/>
  <c r="M31" i="5"/>
  <c r="N31" i="5"/>
  <c r="I31" i="5"/>
  <c r="M30" i="5"/>
  <c r="N30" i="5"/>
  <c r="I30" i="5"/>
  <c r="M29" i="5"/>
  <c r="N29" i="5"/>
  <c r="I29" i="5"/>
  <c r="N28" i="5"/>
  <c r="M28" i="5"/>
  <c r="O28" i="5" s="1"/>
  <c r="I28" i="5"/>
  <c r="N27" i="5"/>
  <c r="M27" i="5"/>
  <c r="O27" i="5" s="1"/>
  <c r="I27" i="5"/>
  <c r="N26" i="5"/>
  <c r="M26" i="5"/>
  <c r="O26" i="5" s="1"/>
  <c r="I26" i="5"/>
  <c r="M25" i="5"/>
  <c r="N25" i="5"/>
  <c r="I25" i="5"/>
  <c r="M24" i="5"/>
  <c r="N24" i="5"/>
  <c r="I24" i="5"/>
  <c r="I23" i="5"/>
  <c r="N23" i="5"/>
  <c r="M23" i="5"/>
  <c r="N22" i="5"/>
  <c r="M22" i="5"/>
  <c r="I22" i="5"/>
  <c r="M21" i="5"/>
  <c r="N21" i="5"/>
  <c r="I21" i="5"/>
  <c r="M20" i="5"/>
  <c r="N20" i="5"/>
  <c r="I20" i="5"/>
  <c r="N19" i="5"/>
  <c r="I19" i="5"/>
  <c r="M19" i="5"/>
  <c r="I18" i="5"/>
  <c r="N18" i="5"/>
  <c r="M18" i="5"/>
  <c r="O18" i="5" s="1"/>
  <c r="M17" i="5"/>
  <c r="I17" i="5"/>
  <c r="N17" i="5"/>
  <c r="M16" i="5"/>
  <c r="N16" i="5"/>
  <c r="I16" i="5"/>
  <c r="N15" i="5"/>
  <c r="M15" i="5"/>
  <c r="O15" i="5" s="1"/>
  <c r="I15" i="5"/>
  <c r="M14" i="5"/>
  <c r="N14" i="5"/>
  <c r="I14" i="5"/>
  <c r="N13" i="5"/>
  <c r="M13" i="5"/>
  <c r="O13" i="5" s="1"/>
  <c r="I13" i="5"/>
  <c r="B7" i="21"/>
  <c r="D7" i="21" s="1"/>
  <c r="E7" i="21" s="1"/>
  <c r="I6" i="5"/>
  <c r="W105" i="5"/>
  <c r="X105" i="5"/>
  <c r="X104" i="5"/>
  <c r="W104" i="5"/>
  <c r="X103" i="5"/>
  <c r="W103" i="5"/>
  <c r="W102" i="5"/>
  <c r="X102" i="5"/>
  <c r="W101" i="5"/>
  <c r="X101" i="5"/>
  <c r="W100" i="5"/>
  <c r="X100" i="5"/>
  <c r="W99" i="5"/>
  <c r="X99" i="5"/>
  <c r="W98" i="5"/>
  <c r="X98" i="5"/>
  <c r="X97" i="5"/>
  <c r="W97" i="5"/>
  <c r="W96" i="5"/>
  <c r="X96" i="5"/>
  <c r="W95" i="5"/>
  <c r="X95" i="5"/>
  <c r="W94" i="5"/>
  <c r="X94" i="5"/>
  <c r="W93" i="5"/>
  <c r="X93" i="5"/>
  <c r="W92" i="5"/>
  <c r="X92" i="5"/>
  <c r="W91" i="5"/>
  <c r="X91" i="5"/>
  <c r="W90" i="5"/>
  <c r="X90" i="5"/>
  <c r="X89" i="5"/>
  <c r="W89" i="5"/>
  <c r="X88" i="5"/>
  <c r="W88" i="5"/>
  <c r="X87" i="5"/>
  <c r="W87" i="5"/>
  <c r="X86" i="5"/>
  <c r="W86" i="5"/>
  <c r="X85" i="5"/>
  <c r="W85" i="5"/>
  <c r="X84" i="5"/>
  <c r="W84" i="5"/>
  <c r="X83" i="5"/>
  <c r="W83" i="5"/>
  <c r="X82" i="5"/>
  <c r="W82" i="5"/>
  <c r="W81" i="5"/>
  <c r="X81" i="5"/>
  <c r="X80" i="5"/>
  <c r="W80" i="5"/>
  <c r="W79" i="5"/>
  <c r="X79" i="5"/>
  <c r="W78" i="5"/>
  <c r="X78" i="5"/>
  <c r="W77" i="5"/>
  <c r="X77" i="5"/>
  <c r="X76" i="5"/>
  <c r="W76" i="5"/>
  <c r="W75" i="5"/>
  <c r="X75" i="5"/>
  <c r="W74" i="5"/>
  <c r="X74" i="5"/>
  <c r="W73" i="5"/>
  <c r="X73" i="5"/>
  <c r="X72" i="5"/>
  <c r="W72" i="5"/>
  <c r="W71" i="5"/>
  <c r="X71" i="5"/>
  <c r="X70" i="5"/>
  <c r="W70" i="5"/>
  <c r="W69" i="5"/>
  <c r="X69" i="5"/>
  <c r="X68" i="5"/>
  <c r="W68" i="5"/>
  <c r="X67" i="5"/>
  <c r="W67" i="5"/>
  <c r="W66" i="5"/>
  <c r="X66" i="5"/>
  <c r="X65" i="5"/>
  <c r="W65" i="5"/>
  <c r="W64" i="5"/>
  <c r="X64" i="5"/>
  <c r="X63" i="5"/>
  <c r="W63" i="5"/>
  <c r="W62" i="5"/>
  <c r="X62" i="5"/>
  <c r="W61" i="5"/>
  <c r="X61" i="5"/>
  <c r="W60" i="5"/>
  <c r="X60" i="5"/>
  <c r="W59" i="5"/>
  <c r="X59" i="5"/>
  <c r="W58" i="5"/>
  <c r="X58" i="5"/>
  <c r="W57" i="5"/>
  <c r="X57" i="5"/>
  <c r="X56" i="5"/>
  <c r="W56" i="5"/>
  <c r="W55" i="5"/>
  <c r="X55" i="5"/>
  <c r="W54" i="5"/>
  <c r="X54" i="5"/>
  <c r="X53" i="5"/>
  <c r="W53" i="5"/>
  <c r="X52" i="5"/>
  <c r="W52" i="5"/>
  <c r="W51" i="5"/>
  <c r="X51" i="5"/>
  <c r="X50" i="5"/>
  <c r="W50" i="5"/>
  <c r="X49" i="5"/>
  <c r="W49" i="5"/>
  <c r="X48" i="5"/>
  <c r="W48" i="5"/>
  <c r="X47" i="5"/>
  <c r="W47" i="5"/>
  <c r="X46" i="5"/>
  <c r="W46" i="5"/>
  <c r="X45" i="5"/>
  <c r="W45" i="5"/>
  <c r="W44" i="5"/>
  <c r="X44" i="5"/>
  <c r="W43" i="5"/>
  <c r="X43" i="5"/>
  <c r="W42" i="5"/>
  <c r="X42" i="5"/>
  <c r="X41" i="5"/>
  <c r="W41" i="5"/>
  <c r="W40" i="5"/>
  <c r="X40" i="5"/>
  <c r="X39" i="5"/>
  <c r="W39" i="5"/>
  <c r="W38" i="5"/>
  <c r="X38" i="5"/>
  <c r="W37" i="5"/>
  <c r="X37" i="5"/>
  <c r="W36" i="5"/>
  <c r="X36" i="5"/>
  <c r="W35" i="5"/>
  <c r="X35" i="5"/>
  <c r="W34" i="5"/>
  <c r="X34" i="5"/>
  <c r="X33" i="5"/>
  <c r="W33" i="5"/>
  <c r="W32" i="5"/>
  <c r="X32" i="5"/>
  <c r="X31" i="5"/>
  <c r="W31" i="5"/>
  <c r="X30" i="5"/>
  <c r="W30" i="5"/>
  <c r="W29" i="5"/>
  <c r="X29" i="5"/>
  <c r="X28" i="5"/>
  <c r="W28" i="5"/>
  <c r="X27" i="5"/>
  <c r="W27" i="5"/>
  <c r="W26" i="5"/>
  <c r="X26" i="5"/>
  <c r="W25" i="5"/>
  <c r="X25" i="5"/>
  <c r="W24" i="5"/>
  <c r="X24" i="5"/>
  <c r="W23" i="5"/>
  <c r="X23" i="5"/>
  <c r="X22" i="5"/>
  <c r="W22" i="5"/>
  <c r="W21" i="5"/>
  <c r="X21" i="5"/>
  <c r="X20" i="5"/>
  <c r="W20" i="5"/>
  <c r="W19" i="5"/>
  <c r="X19" i="5"/>
  <c r="W18" i="5"/>
  <c r="X18" i="5"/>
  <c r="X17" i="5"/>
  <c r="W17" i="5"/>
  <c r="W16" i="5"/>
  <c r="X16" i="5"/>
  <c r="X15" i="5"/>
  <c r="W15" i="5"/>
  <c r="X14" i="5"/>
  <c r="W14" i="5"/>
  <c r="X13" i="5"/>
  <c r="W13" i="5"/>
  <c r="X12" i="5"/>
  <c r="W12" i="5"/>
  <c r="X11" i="5"/>
  <c r="W11" i="5"/>
  <c r="X10" i="5"/>
  <c r="W10" i="5"/>
  <c r="X9" i="5"/>
  <c r="W9" i="5"/>
  <c r="X6" i="5"/>
  <c r="W6" i="5"/>
  <c r="AI12" i="5"/>
  <c r="J6" i="20"/>
  <c r="AI10" i="5"/>
  <c r="AI11" i="5"/>
  <c r="AI8" i="5"/>
  <c r="AI9" i="5"/>
  <c r="AI7" i="5"/>
  <c r="A105" i="16"/>
  <c r="AI6" i="5"/>
  <c r="N28" i="12"/>
  <c r="O28" i="12" s="1"/>
  <c r="U28" i="12" s="1"/>
  <c r="N32" i="12"/>
  <c r="O32" i="12" s="1"/>
  <c r="U32" i="12" s="1"/>
  <c r="N22" i="12"/>
  <c r="O22" i="12" s="1"/>
  <c r="U22" i="12" s="1"/>
  <c r="N21" i="12"/>
  <c r="O21" i="12" s="1"/>
  <c r="U21" i="12" s="1"/>
  <c r="N51" i="12"/>
  <c r="O51" i="12" s="1"/>
  <c r="U51" i="12" s="1"/>
  <c r="N48" i="12"/>
  <c r="O48" i="12" s="1"/>
  <c r="U48" i="12" s="1"/>
  <c r="N11" i="12"/>
  <c r="O11" i="12" s="1"/>
  <c r="U11" i="12" s="1"/>
  <c r="N13" i="12"/>
  <c r="O13" i="12" s="1"/>
  <c r="U13" i="12" s="1"/>
  <c r="AK105" i="5"/>
  <c r="V105" i="16" s="1"/>
  <c r="I105" i="16"/>
  <c r="H105" i="16"/>
  <c r="N31" i="12"/>
  <c r="O31" i="12" s="1"/>
  <c r="U31" i="12" s="1"/>
  <c r="N53" i="12"/>
  <c r="O53" i="12" s="1"/>
  <c r="U53" i="12" s="1"/>
  <c r="Q9" i="18"/>
  <c r="N56" i="12"/>
  <c r="O56" i="12" s="1"/>
  <c r="U56" i="12" s="1"/>
  <c r="N39" i="12"/>
  <c r="O39" i="12" s="1"/>
  <c r="U39" i="12" s="1"/>
  <c r="N26" i="12"/>
  <c r="O26" i="12" s="1"/>
  <c r="U26" i="12" s="1"/>
  <c r="N37" i="12"/>
  <c r="O37" i="12" s="1"/>
  <c r="U37" i="12" s="1"/>
  <c r="V23" i="9"/>
  <c r="V21" i="9"/>
  <c r="V12" i="9"/>
  <c r="H13" i="14"/>
  <c r="N34" i="12"/>
  <c r="O34" i="12" s="1"/>
  <c r="U34" i="12" s="1"/>
  <c r="N40" i="12"/>
  <c r="O40" i="12" s="1"/>
  <c r="U40" i="12" s="1"/>
  <c r="V59" i="9"/>
  <c r="N23" i="12"/>
  <c r="O23" i="12" s="1"/>
  <c r="U23" i="12" s="1"/>
  <c r="N35" i="12"/>
  <c r="O35" i="12" s="1"/>
  <c r="U35" i="12" s="1"/>
  <c r="N19" i="12"/>
  <c r="O19" i="12" s="1"/>
  <c r="U19" i="12" s="1"/>
  <c r="N14" i="12"/>
  <c r="O14" i="12" s="1"/>
  <c r="U14" i="12" s="1"/>
  <c r="V29" i="9"/>
  <c r="V42" i="9"/>
  <c r="N44" i="12"/>
  <c r="O44" i="12" s="1"/>
  <c r="U44" i="12" s="1"/>
  <c r="V18" i="9"/>
  <c r="Y49" i="9"/>
  <c r="V16" i="9"/>
  <c r="N52" i="12"/>
  <c r="O52" i="12" s="1"/>
  <c r="U52" i="12" s="1"/>
  <c r="V36" i="9"/>
  <c r="V55" i="9"/>
  <c r="V41" i="9"/>
  <c r="N57" i="12"/>
  <c r="O57" i="12" s="1"/>
  <c r="U57" i="12" s="1"/>
  <c r="N33" i="12"/>
  <c r="O33" i="12" s="1"/>
  <c r="U33" i="12" s="1"/>
  <c r="N36" i="12"/>
  <c r="O36" i="12" s="1"/>
  <c r="U36" i="12" s="1"/>
  <c r="V39" i="9"/>
  <c r="V38" i="9"/>
  <c r="V31" i="9"/>
  <c r="V27" i="9"/>
  <c r="Y65" i="9"/>
  <c r="V28" i="9"/>
  <c r="V34" i="9"/>
  <c r="V19" i="9"/>
  <c r="Y62" i="9"/>
  <c r="N45" i="12"/>
  <c r="O45" i="12" s="1"/>
  <c r="U45" i="12" s="1"/>
  <c r="Y60" i="9"/>
  <c r="Y64" i="9"/>
  <c r="V26" i="9"/>
  <c r="V13" i="9"/>
  <c r="V45" i="9"/>
  <c r="V15" i="9"/>
  <c r="V65" i="9"/>
  <c r="V56" i="9"/>
  <c r="V58" i="9"/>
  <c r="V47" i="9"/>
  <c r="V30" i="9"/>
  <c r="V17" i="9"/>
  <c r="V44" i="9"/>
  <c r="V40" i="9"/>
  <c r="V57" i="9"/>
  <c r="V60" i="9"/>
  <c r="N65" i="12"/>
  <c r="O65" i="12" s="1"/>
  <c r="U65" i="12" s="1"/>
  <c r="N58" i="12"/>
  <c r="O58" i="12" s="1"/>
  <c r="U58" i="12" s="1"/>
  <c r="V53" i="9"/>
  <c r="V20" i="9"/>
  <c r="V48" i="9"/>
  <c r="V63" i="9"/>
  <c r="V24" i="9"/>
  <c r="V22" i="9"/>
  <c r="V25" i="9"/>
  <c r="V14" i="9"/>
  <c r="V46" i="9"/>
  <c r="V35" i="9"/>
  <c r="N27" i="12"/>
  <c r="O27" i="12" s="1"/>
  <c r="U27" i="12" s="1"/>
  <c r="N15" i="12"/>
  <c r="O15" i="12" s="1"/>
  <c r="U15" i="12" s="1"/>
  <c r="N25" i="12"/>
  <c r="O25" i="12" s="1"/>
  <c r="U25" i="12" s="1"/>
  <c r="V62" i="9"/>
  <c r="V33" i="9"/>
  <c r="V32" i="9"/>
  <c r="N63" i="12"/>
  <c r="O63" i="12" s="1"/>
  <c r="U63" i="12" s="1"/>
  <c r="N59" i="12"/>
  <c r="O59" i="12" s="1"/>
  <c r="U59" i="12" s="1"/>
  <c r="V50" i="9"/>
  <c r="V51" i="9"/>
  <c r="B6" i="2"/>
  <c r="V64" i="9"/>
  <c r="V52" i="9"/>
  <c r="V37" i="9"/>
  <c r="V61" i="9"/>
  <c r="V49" i="9"/>
  <c r="V43" i="9"/>
  <c r="Y35" i="9"/>
  <c r="Y51" i="9"/>
  <c r="Y63" i="9"/>
  <c r="Y55" i="9"/>
  <c r="Y52" i="9"/>
  <c r="Y47" i="9"/>
  <c r="Y45" i="9"/>
  <c r="Y43" i="9"/>
  <c r="Y41" i="9"/>
  <c r="Y25" i="9"/>
  <c r="Y18" i="9"/>
  <c r="Y13" i="9"/>
  <c r="Y44" i="9"/>
  <c r="Y34" i="9"/>
  <c r="Y31" i="9"/>
  <c r="Y24" i="9"/>
  <c r="Y21" i="9"/>
  <c r="Y14" i="9"/>
  <c r="Y59" i="9"/>
  <c r="Y39" i="9"/>
  <c r="Y36" i="9"/>
  <c r="Y29" i="9"/>
  <c r="Y26" i="9"/>
  <c r="Y19" i="9"/>
  <c r="Y16" i="9"/>
  <c r="Y38" i="9"/>
  <c r="Y33" i="9"/>
  <c r="Y50" i="9"/>
  <c r="Y27" i="9"/>
  <c r="Y22" i="9"/>
  <c r="Y46" i="9"/>
  <c r="Y42" i="9"/>
  <c r="Y40" i="9"/>
  <c r="Y37" i="9"/>
  <c r="Y28" i="9"/>
  <c r="Y23" i="9"/>
  <c r="Y20" i="9"/>
  <c r="Y15" i="9"/>
  <c r="Y12" i="9"/>
  <c r="Y61" i="9"/>
  <c r="Y58" i="9"/>
  <c r="Y57" i="9"/>
  <c r="Y56" i="9"/>
  <c r="Y54" i="9"/>
  <c r="Y53" i="9"/>
  <c r="Y48" i="9"/>
  <c r="Y32" i="9"/>
  <c r="Y30" i="9"/>
  <c r="Y17" i="9"/>
  <c r="Q10" i="18"/>
  <c r="N8" i="12"/>
  <c r="O8" i="12" s="1"/>
  <c r="U8" i="12" s="1"/>
  <c r="M10" i="18"/>
  <c r="B20" i="21"/>
  <c r="N6" i="12"/>
  <c r="O6" i="12" s="1"/>
  <c r="U6" i="12" s="1"/>
  <c r="N9" i="12"/>
  <c r="O9" i="12" s="1"/>
  <c r="U9" i="12" s="1"/>
  <c r="N10" i="12"/>
  <c r="O10" i="12" s="1"/>
  <c r="U10" i="12" s="1"/>
  <c r="N7" i="12"/>
  <c r="O7" i="12" s="1"/>
  <c r="U7" i="12" s="1"/>
  <c r="B17" i="21"/>
  <c r="O12" i="10"/>
  <c r="O11" i="10"/>
  <c r="O9" i="10"/>
  <c r="O8" i="10"/>
  <c r="O6" i="10"/>
  <c r="V54" i="9"/>
  <c r="O82" i="18"/>
  <c r="J82" i="18"/>
  <c r="K82" i="18"/>
  <c r="M82" i="18"/>
  <c r="B82" i="18"/>
  <c r="G82" i="18"/>
  <c r="C82" i="18"/>
  <c r="N82" i="18"/>
  <c r="L82" i="18"/>
  <c r="I82" i="18"/>
  <c r="H82" i="18"/>
  <c r="F82" i="18"/>
  <c r="D82" i="18"/>
  <c r="N64" i="16"/>
  <c r="M64" i="16"/>
  <c r="L64" i="16"/>
  <c r="J64" i="16"/>
  <c r="I64" i="16"/>
  <c r="H64" i="16"/>
  <c r="G64" i="16"/>
  <c r="F64" i="16"/>
  <c r="E64" i="16"/>
  <c r="D64" i="16"/>
  <c r="C64" i="16"/>
  <c r="B64" i="16"/>
  <c r="K64" i="16"/>
  <c r="R64" i="16"/>
  <c r="V64" i="16"/>
  <c r="U64" i="16"/>
  <c r="T64" i="16"/>
  <c r="S64" i="16"/>
  <c r="Q64" i="16"/>
  <c r="P64" i="16"/>
  <c r="O64" i="16"/>
  <c r="I89" i="11"/>
  <c r="F89" i="11"/>
  <c r="J89" i="11"/>
  <c r="K89" i="11"/>
  <c r="M89" i="11"/>
  <c r="E89" i="11"/>
  <c r="H89" i="11"/>
  <c r="G89" i="11"/>
  <c r="L89" i="11"/>
  <c r="M14" i="11"/>
  <c r="K14" i="11"/>
  <c r="L14" i="11"/>
  <c r="N52" i="8"/>
  <c r="O52" i="8"/>
  <c r="AK13" i="5"/>
  <c r="I7" i="4"/>
  <c r="D18" i="21"/>
  <c r="E18" i="21" s="1"/>
  <c r="D14" i="21"/>
  <c r="E14" i="21" s="1"/>
  <c r="D13" i="21"/>
  <c r="E13" i="21"/>
  <c r="D12" i="21"/>
  <c r="E12" i="21" s="1"/>
  <c r="E8" i="21"/>
  <c r="D8" i="21"/>
  <c r="D6" i="21"/>
  <c r="E6" i="21" s="1"/>
  <c r="D5" i="21"/>
  <c r="E5" i="21"/>
  <c r="D135" i="18"/>
  <c r="F135" i="18"/>
  <c r="M135" i="18"/>
  <c r="H135" i="18"/>
  <c r="I135" i="18"/>
  <c r="K135" i="18"/>
  <c r="L135" i="18"/>
  <c r="N135" i="18"/>
  <c r="G135" i="18"/>
  <c r="B135" i="18"/>
  <c r="C135" i="18"/>
  <c r="K134" i="18"/>
  <c r="F134" i="18"/>
  <c r="C134" i="18"/>
  <c r="M134" i="18"/>
  <c r="N134" i="18"/>
  <c r="O134" i="18"/>
  <c r="H134" i="18"/>
  <c r="B134" i="18"/>
  <c r="D134" i="18"/>
  <c r="G134" i="18"/>
  <c r="I134" i="18"/>
  <c r="J134" i="18"/>
  <c r="L134" i="18"/>
  <c r="K133" i="18"/>
  <c r="H133" i="18"/>
  <c r="F133" i="18"/>
  <c r="D133" i="18"/>
  <c r="B133" i="18"/>
  <c r="C133" i="18"/>
  <c r="O133" i="18"/>
  <c r="G133" i="18"/>
  <c r="I133" i="18"/>
  <c r="N133" i="18"/>
  <c r="L133" i="18"/>
  <c r="J133" i="18"/>
  <c r="M133" i="18"/>
  <c r="O132" i="18"/>
  <c r="M132" i="18"/>
  <c r="L132" i="18"/>
  <c r="K132" i="18"/>
  <c r="J132" i="18"/>
  <c r="H132" i="18"/>
  <c r="N132" i="18"/>
  <c r="G132" i="18"/>
  <c r="C132" i="18"/>
  <c r="D132" i="18"/>
  <c r="F132" i="18"/>
  <c r="B132" i="18"/>
  <c r="I132" i="18"/>
  <c r="H131" i="18"/>
  <c r="I131" i="18"/>
  <c r="K131" i="18"/>
  <c r="N131" i="18"/>
  <c r="O131" i="18"/>
  <c r="C131" i="18"/>
  <c r="D131" i="18"/>
  <c r="F131" i="18"/>
  <c r="B131" i="18"/>
  <c r="G131" i="18"/>
  <c r="J131" i="18"/>
  <c r="L131" i="18"/>
  <c r="M131" i="18"/>
  <c r="F130" i="18"/>
  <c r="I130" i="18"/>
  <c r="M130" i="18"/>
  <c r="K130" i="18"/>
  <c r="J130" i="18"/>
  <c r="C130" i="18"/>
  <c r="G130" i="18"/>
  <c r="L130" i="18"/>
  <c r="N130" i="18"/>
  <c r="O130" i="18"/>
  <c r="B130" i="18"/>
  <c r="D130" i="18"/>
  <c r="H130" i="18"/>
  <c r="L129" i="18"/>
  <c r="N129" i="18"/>
  <c r="O129" i="18"/>
  <c r="K129" i="18"/>
  <c r="I129" i="18"/>
  <c r="M129" i="18"/>
  <c r="G129" i="18"/>
  <c r="C129" i="18"/>
  <c r="B129" i="18"/>
  <c r="D129" i="18"/>
  <c r="H129" i="18"/>
  <c r="J129" i="18"/>
  <c r="F129" i="18"/>
  <c r="O128" i="18"/>
  <c r="B128" i="18"/>
  <c r="J128" i="18"/>
  <c r="I128" i="18"/>
  <c r="C128" i="18"/>
  <c r="D128" i="18"/>
  <c r="G128" i="18"/>
  <c r="F128" i="18"/>
  <c r="H128" i="18"/>
  <c r="K128" i="18"/>
  <c r="L128" i="18"/>
  <c r="M128" i="18"/>
  <c r="N128" i="18"/>
  <c r="O127" i="18"/>
  <c r="L127" i="18"/>
  <c r="K127" i="18"/>
  <c r="C127" i="18"/>
  <c r="F127" i="18"/>
  <c r="I127" i="18"/>
  <c r="G127" i="18"/>
  <c r="D127" i="18"/>
  <c r="B127" i="18"/>
  <c r="H127" i="18"/>
  <c r="J127" i="18"/>
  <c r="N127" i="18"/>
  <c r="M127" i="18"/>
  <c r="I126" i="18"/>
  <c r="G126" i="18"/>
  <c r="D126" i="18"/>
  <c r="J126" i="18"/>
  <c r="H126" i="18"/>
  <c r="F126" i="18"/>
  <c r="C126" i="18"/>
  <c r="B126" i="18"/>
  <c r="O126" i="18"/>
  <c r="N126" i="18"/>
  <c r="M126" i="18"/>
  <c r="L126" i="18"/>
  <c r="K126" i="18"/>
  <c r="H125" i="18"/>
  <c r="J125" i="18"/>
  <c r="L125" i="18"/>
  <c r="C125" i="18"/>
  <c r="O125" i="18"/>
  <c r="N125" i="18"/>
  <c r="G125" i="18"/>
  <c r="F125" i="18"/>
  <c r="I125" i="18"/>
  <c r="K125" i="18"/>
  <c r="M125" i="18"/>
  <c r="B125" i="18"/>
  <c r="D125" i="18"/>
  <c r="J124" i="18"/>
  <c r="I124" i="18"/>
  <c r="G124" i="18"/>
  <c r="C124" i="18"/>
  <c r="M124" i="18"/>
  <c r="L124" i="18"/>
  <c r="B124" i="18"/>
  <c r="D124" i="18"/>
  <c r="F124" i="18"/>
  <c r="H124" i="18"/>
  <c r="N124" i="18"/>
  <c r="O124" i="18"/>
  <c r="K124" i="18"/>
  <c r="O123" i="18"/>
  <c r="K123" i="18"/>
  <c r="I123" i="18"/>
  <c r="G123" i="18"/>
  <c r="B123" i="18"/>
  <c r="F123" i="18"/>
  <c r="C123" i="18"/>
  <c r="N123" i="18"/>
  <c r="M123" i="18"/>
  <c r="L123" i="18"/>
  <c r="J123" i="18"/>
  <c r="H123" i="18"/>
  <c r="D123" i="18"/>
  <c r="N122" i="18"/>
  <c r="F122" i="18"/>
  <c r="C122" i="18"/>
  <c r="D122" i="18"/>
  <c r="B122" i="18"/>
  <c r="K122" i="18"/>
  <c r="H122" i="18"/>
  <c r="O122" i="18"/>
  <c r="M122" i="18"/>
  <c r="L122" i="18"/>
  <c r="J122" i="18"/>
  <c r="I122" i="18"/>
  <c r="G122" i="18"/>
  <c r="O121" i="18"/>
  <c r="M121" i="18"/>
  <c r="K121" i="18"/>
  <c r="D121" i="18"/>
  <c r="B121" i="18"/>
  <c r="I121" i="18"/>
  <c r="G121" i="18"/>
  <c r="F121" i="18"/>
  <c r="N121" i="18"/>
  <c r="H121" i="18"/>
  <c r="C121" i="18"/>
  <c r="J121" i="18"/>
  <c r="L121" i="18"/>
  <c r="M120" i="18"/>
  <c r="N120" i="18"/>
  <c r="B120" i="18"/>
  <c r="J120" i="18"/>
  <c r="F120" i="18"/>
  <c r="G120" i="18"/>
  <c r="I120" i="18"/>
  <c r="C120" i="18"/>
  <c r="H120" i="18"/>
  <c r="D120" i="18"/>
  <c r="O120" i="18"/>
  <c r="K120" i="18"/>
  <c r="L120" i="18"/>
  <c r="D119" i="18"/>
  <c r="G119" i="18"/>
  <c r="B119" i="18"/>
  <c r="F119" i="18"/>
  <c r="L119" i="18"/>
  <c r="H119" i="18"/>
  <c r="C119" i="18"/>
  <c r="E119" i="18" s="1"/>
  <c r="M119" i="18"/>
  <c r="O119" i="18"/>
  <c r="N119" i="18"/>
  <c r="K119" i="18"/>
  <c r="J119" i="18"/>
  <c r="I119" i="18"/>
  <c r="N118" i="18"/>
  <c r="L118" i="18"/>
  <c r="J118" i="18"/>
  <c r="H118" i="18"/>
  <c r="B118" i="18"/>
  <c r="K118" i="18"/>
  <c r="I118" i="18"/>
  <c r="G118" i="18"/>
  <c r="C118" i="18"/>
  <c r="F118" i="18"/>
  <c r="D118" i="18"/>
  <c r="O118" i="18"/>
  <c r="M118" i="18"/>
  <c r="O117" i="18"/>
  <c r="M117" i="18"/>
  <c r="K117" i="18"/>
  <c r="I117" i="18"/>
  <c r="G117" i="18"/>
  <c r="D117" i="18"/>
  <c r="J117" i="18"/>
  <c r="N117" i="18"/>
  <c r="L117" i="18"/>
  <c r="C117" i="18"/>
  <c r="F117" i="18"/>
  <c r="B117" i="18"/>
  <c r="H117" i="18"/>
  <c r="C116" i="18"/>
  <c r="G116" i="18"/>
  <c r="I116" i="18"/>
  <c r="B116" i="18"/>
  <c r="M116" i="18"/>
  <c r="K116" i="18"/>
  <c r="H116" i="18"/>
  <c r="F116" i="18"/>
  <c r="O116" i="18"/>
  <c r="D116" i="18"/>
  <c r="N116" i="18"/>
  <c r="L116" i="18"/>
  <c r="J116" i="18"/>
  <c r="O115" i="18"/>
  <c r="M115" i="18"/>
  <c r="J115" i="18"/>
  <c r="I115" i="18"/>
  <c r="D115" i="18"/>
  <c r="H115" i="18"/>
  <c r="C115" i="18"/>
  <c r="K115" i="18"/>
  <c r="B115" i="18"/>
  <c r="N115" i="18"/>
  <c r="F115" i="18"/>
  <c r="G115" i="18"/>
  <c r="L115" i="18"/>
  <c r="G114" i="18"/>
  <c r="C114" i="18"/>
  <c r="H114" i="18"/>
  <c r="J114" i="18"/>
  <c r="L114" i="18"/>
  <c r="B114" i="18"/>
  <c r="F114" i="18"/>
  <c r="N114" i="18"/>
  <c r="I114" i="18"/>
  <c r="K114" i="18"/>
  <c r="M114" i="18"/>
  <c r="O114" i="18"/>
  <c r="D114" i="18"/>
  <c r="O113" i="18"/>
  <c r="M113" i="18"/>
  <c r="I113" i="18"/>
  <c r="F113" i="18"/>
  <c r="D113" i="18"/>
  <c r="B113" i="18"/>
  <c r="K113" i="18"/>
  <c r="L113" i="18"/>
  <c r="J113" i="18"/>
  <c r="N113" i="18"/>
  <c r="H113" i="18"/>
  <c r="C113" i="18"/>
  <c r="G113" i="18"/>
  <c r="H112" i="18"/>
  <c r="O112" i="18"/>
  <c r="C112" i="18"/>
  <c r="B112" i="18"/>
  <c r="F112" i="18"/>
  <c r="D112" i="18"/>
  <c r="G112" i="18"/>
  <c r="I112" i="18"/>
  <c r="K112" i="18"/>
  <c r="M112" i="18"/>
  <c r="N112" i="18"/>
  <c r="J112" i="18"/>
  <c r="L112" i="18"/>
  <c r="B111" i="18"/>
  <c r="F111" i="18"/>
  <c r="J111" i="18"/>
  <c r="L111" i="18"/>
  <c r="N111" i="18"/>
  <c r="M111" i="18"/>
  <c r="D111" i="18"/>
  <c r="O111" i="18"/>
  <c r="H111" i="18"/>
  <c r="I111" i="18"/>
  <c r="K111" i="18"/>
  <c r="C111" i="18"/>
  <c r="G111" i="18"/>
  <c r="H110" i="18"/>
  <c r="K110" i="18"/>
  <c r="N110" i="18"/>
  <c r="L110" i="18"/>
  <c r="I110" i="18"/>
  <c r="B110" i="18"/>
  <c r="C110" i="18"/>
  <c r="D110" i="18"/>
  <c r="G110" i="18"/>
  <c r="J110" i="18"/>
  <c r="F110" i="18"/>
  <c r="M110" i="18"/>
  <c r="O110" i="18"/>
  <c r="H109" i="18"/>
  <c r="D109" i="18"/>
  <c r="B109" i="18"/>
  <c r="F109" i="18"/>
  <c r="N109" i="18"/>
  <c r="L109" i="18"/>
  <c r="C109" i="18"/>
  <c r="J109" i="18"/>
  <c r="I109" i="18"/>
  <c r="G109" i="18"/>
  <c r="M109" i="18"/>
  <c r="O109" i="18"/>
  <c r="K109" i="18"/>
  <c r="D108" i="18"/>
  <c r="C108" i="18"/>
  <c r="H108" i="18"/>
  <c r="M108" i="18"/>
  <c r="O108" i="18"/>
  <c r="K108" i="18"/>
  <c r="I108" i="18"/>
  <c r="F108" i="18"/>
  <c r="B108" i="18"/>
  <c r="N108" i="18"/>
  <c r="L108" i="18"/>
  <c r="J108" i="18"/>
  <c r="G108" i="18"/>
  <c r="F107" i="18"/>
  <c r="C107" i="18"/>
  <c r="O107" i="18"/>
  <c r="M107" i="18"/>
  <c r="K107" i="18"/>
  <c r="H107" i="18"/>
  <c r="L107" i="18"/>
  <c r="B107" i="18"/>
  <c r="D107" i="18"/>
  <c r="G107" i="18"/>
  <c r="I107" i="18"/>
  <c r="N107" i="18"/>
  <c r="J107" i="18"/>
  <c r="D106" i="18"/>
  <c r="F106" i="18"/>
  <c r="H106" i="18"/>
  <c r="J106" i="18"/>
  <c r="L106" i="18"/>
  <c r="M106" i="18"/>
  <c r="O106" i="18"/>
  <c r="C106" i="18"/>
  <c r="I106" i="18"/>
  <c r="B106" i="18"/>
  <c r="G106" i="18"/>
  <c r="N106" i="18"/>
  <c r="K106" i="18"/>
  <c r="I105" i="18"/>
  <c r="G105" i="18"/>
  <c r="B105" i="18"/>
  <c r="J105" i="18"/>
  <c r="M105" i="18"/>
  <c r="K105" i="18"/>
  <c r="D105" i="18"/>
  <c r="O105" i="18"/>
  <c r="N105" i="18"/>
  <c r="L105" i="18"/>
  <c r="H105" i="18"/>
  <c r="F105" i="18"/>
  <c r="C105" i="18"/>
  <c r="N104" i="18"/>
  <c r="C104" i="18"/>
  <c r="F104" i="18"/>
  <c r="B104" i="18"/>
  <c r="D104" i="18"/>
  <c r="G104" i="18"/>
  <c r="K104" i="18"/>
  <c r="H104" i="18"/>
  <c r="O104" i="18"/>
  <c r="I104" i="18"/>
  <c r="J104" i="18"/>
  <c r="L104" i="18"/>
  <c r="M104" i="18"/>
  <c r="G103" i="18"/>
  <c r="I103" i="18"/>
  <c r="M103" i="18"/>
  <c r="B103" i="18"/>
  <c r="N103" i="18"/>
  <c r="L103" i="18"/>
  <c r="J103" i="18"/>
  <c r="H103" i="18"/>
  <c r="K103" i="18"/>
  <c r="O103" i="18"/>
  <c r="C103" i="18"/>
  <c r="F103" i="18"/>
  <c r="D103" i="18"/>
  <c r="C102" i="18"/>
  <c r="B102" i="18"/>
  <c r="D102" i="18"/>
  <c r="G102" i="18"/>
  <c r="J102" i="18"/>
  <c r="H102" i="18"/>
  <c r="K102" i="18"/>
  <c r="M102" i="18"/>
  <c r="O102" i="18"/>
  <c r="F102" i="18"/>
  <c r="I102" i="18"/>
  <c r="L102" i="18"/>
  <c r="N102" i="18"/>
  <c r="B101" i="18"/>
  <c r="G101" i="18"/>
  <c r="J101" i="18"/>
  <c r="L101" i="18"/>
  <c r="N101" i="18"/>
  <c r="C101" i="18"/>
  <c r="M101" i="18"/>
  <c r="O101" i="18"/>
  <c r="K101" i="18"/>
  <c r="H101" i="18"/>
  <c r="D101" i="18"/>
  <c r="F101" i="18"/>
  <c r="I101" i="18"/>
  <c r="M100" i="18"/>
  <c r="O100" i="18"/>
  <c r="K100" i="18"/>
  <c r="D100" i="18"/>
  <c r="I100" i="18"/>
  <c r="F100" i="18"/>
  <c r="C100" i="18"/>
  <c r="B100" i="18"/>
  <c r="G100" i="18"/>
  <c r="H100" i="18"/>
  <c r="J100" i="18"/>
  <c r="L100" i="18"/>
  <c r="N100" i="18"/>
  <c r="C99" i="18"/>
  <c r="B99" i="18"/>
  <c r="G99" i="18"/>
  <c r="K99" i="18"/>
  <c r="M99" i="18"/>
  <c r="O99" i="18"/>
  <c r="J99" i="18"/>
  <c r="N99" i="18"/>
  <c r="L99" i="18"/>
  <c r="I99" i="18"/>
  <c r="F99" i="18"/>
  <c r="H99" i="18"/>
  <c r="D99" i="18"/>
  <c r="C98" i="18"/>
  <c r="I98" i="18"/>
  <c r="K98" i="18"/>
  <c r="M98" i="18"/>
  <c r="O98" i="18"/>
  <c r="G98" i="18"/>
  <c r="D98" i="18"/>
  <c r="L98" i="18"/>
  <c r="J98" i="18"/>
  <c r="H98" i="18"/>
  <c r="F98" i="18"/>
  <c r="B98" i="18"/>
  <c r="N98" i="18"/>
  <c r="D97" i="18"/>
  <c r="G97" i="18"/>
  <c r="C97" i="18"/>
  <c r="H97" i="18"/>
  <c r="N97" i="18"/>
  <c r="M97" i="18"/>
  <c r="O97" i="18"/>
  <c r="F97" i="18"/>
  <c r="I97" i="18"/>
  <c r="K97" i="18"/>
  <c r="B97" i="18"/>
  <c r="L97" i="18"/>
  <c r="J97" i="18"/>
  <c r="J96" i="18"/>
  <c r="L96" i="18"/>
  <c r="N96" i="18"/>
  <c r="G96" i="18"/>
  <c r="C96" i="18"/>
  <c r="F96" i="18"/>
  <c r="I96" i="18"/>
  <c r="K96" i="18"/>
  <c r="M96" i="18"/>
  <c r="O96" i="18"/>
  <c r="B96" i="18"/>
  <c r="D96" i="18"/>
  <c r="H96" i="18"/>
  <c r="G95" i="18"/>
  <c r="B95" i="18"/>
  <c r="I95" i="18"/>
  <c r="K95" i="18"/>
  <c r="M95" i="18"/>
  <c r="N95" i="18"/>
  <c r="L95" i="18"/>
  <c r="J95" i="18"/>
  <c r="H95" i="18"/>
  <c r="F95" i="18"/>
  <c r="C95" i="18"/>
  <c r="D95" i="18"/>
  <c r="O95" i="18"/>
  <c r="F94" i="18"/>
  <c r="C94" i="18"/>
  <c r="K94" i="18"/>
  <c r="D94" i="18"/>
  <c r="I94" i="18"/>
  <c r="O94" i="18"/>
  <c r="H94" i="18"/>
  <c r="N94" i="18"/>
  <c r="L94" i="18"/>
  <c r="J94" i="18"/>
  <c r="G94" i="18"/>
  <c r="B94" i="18"/>
  <c r="M94" i="18"/>
  <c r="F93" i="18"/>
  <c r="C93" i="18"/>
  <c r="L93" i="18"/>
  <c r="N93" i="18"/>
  <c r="K93" i="18"/>
  <c r="J93" i="18"/>
  <c r="H93" i="18"/>
  <c r="G93" i="18"/>
  <c r="D93" i="18"/>
  <c r="B93" i="18"/>
  <c r="I93" i="18"/>
  <c r="O93" i="18"/>
  <c r="M93" i="18"/>
  <c r="O92" i="18"/>
  <c r="K92" i="18"/>
  <c r="H92" i="18"/>
  <c r="B92" i="18"/>
  <c r="J92" i="18"/>
  <c r="N92" i="18"/>
  <c r="L92" i="18"/>
  <c r="M92" i="18"/>
  <c r="G92" i="18"/>
  <c r="D92" i="18"/>
  <c r="I92" i="18"/>
  <c r="F92" i="18"/>
  <c r="C92" i="18"/>
  <c r="N91" i="18"/>
  <c r="K91" i="18"/>
  <c r="I91" i="18"/>
  <c r="F91" i="18"/>
  <c r="C91" i="18"/>
  <c r="G91" i="18"/>
  <c r="D91" i="18"/>
  <c r="H91" i="18"/>
  <c r="J91" i="18"/>
  <c r="B91" i="18"/>
  <c r="M91" i="18"/>
  <c r="O91" i="18"/>
  <c r="L91" i="18"/>
  <c r="M90" i="18"/>
  <c r="K90" i="18"/>
  <c r="I90" i="18"/>
  <c r="G90" i="18"/>
  <c r="D90" i="18"/>
  <c r="N90" i="18"/>
  <c r="C90" i="18"/>
  <c r="F90" i="18"/>
  <c r="J90" i="18"/>
  <c r="L90" i="18"/>
  <c r="O90" i="18"/>
  <c r="H90" i="18"/>
  <c r="B90" i="18"/>
  <c r="G89" i="18"/>
  <c r="B89" i="18"/>
  <c r="L89" i="18"/>
  <c r="M89" i="18"/>
  <c r="O89" i="18"/>
  <c r="N89" i="18"/>
  <c r="K89" i="18"/>
  <c r="C89" i="18"/>
  <c r="F89" i="18"/>
  <c r="I89" i="18"/>
  <c r="D89" i="18"/>
  <c r="H89" i="18"/>
  <c r="J89" i="18"/>
  <c r="N88" i="18"/>
  <c r="L88" i="18"/>
  <c r="H88" i="18"/>
  <c r="D88" i="18"/>
  <c r="G88" i="18"/>
  <c r="J88" i="18"/>
  <c r="I88" i="18"/>
  <c r="M88" i="18"/>
  <c r="O88" i="18"/>
  <c r="F88" i="18"/>
  <c r="C88" i="18"/>
  <c r="K88" i="18"/>
  <c r="B88" i="18"/>
  <c r="O87" i="18"/>
  <c r="M87" i="18"/>
  <c r="B87" i="18"/>
  <c r="H87" i="18"/>
  <c r="K87" i="18"/>
  <c r="I87" i="18"/>
  <c r="G87" i="18"/>
  <c r="C87" i="18"/>
  <c r="L87" i="18"/>
  <c r="D87" i="18"/>
  <c r="N87" i="18"/>
  <c r="J87" i="18"/>
  <c r="F87" i="18"/>
  <c r="L86" i="18"/>
  <c r="N86" i="18"/>
  <c r="O86" i="18"/>
  <c r="M86" i="18"/>
  <c r="K86" i="18"/>
  <c r="I86" i="18"/>
  <c r="G86" i="18"/>
  <c r="B86" i="18"/>
  <c r="J86" i="18"/>
  <c r="F86" i="18"/>
  <c r="D86" i="18"/>
  <c r="C86" i="18"/>
  <c r="H86" i="18"/>
  <c r="O85" i="18"/>
  <c r="B85" i="18"/>
  <c r="I85" i="18"/>
  <c r="K85" i="18"/>
  <c r="M85" i="18"/>
  <c r="N85" i="18"/>
  <c r="F85" i="18"/>
  <c r="C85" i="18"/>
  <c r="L85" i="18"/>
  <c r="J85" i="18"/>
  <c r="H85" i="18"/>
  <c r="D85" i="18"/>
  <c r="G85" i="18"/>
  <c r="N84" i="18"/>
  <c r="L84" i="18"/>
  <c r="J84" i="18"/>
  <c r="H84" i="18"/>
  <c r="O84" i="18"/>
  <c r="M84" i="18"/>
  <c r="K84" i="18"/>
  <c r="I84" i="18"/>
  <c r="F84" i="18"/>
  <c r="D84" i="18"/>
  <c r="B84" i="18"/>
  <c r="G84" i="18"/>
  <c r="C84" i="18"/>
  <c r="O83" i="18"/>
  <c r="N83" i="18"/>
  <c r="M83" i="18"/>
  <c r="K83" i="18"/>
  <c r="J83" i="18"/>
  <c r="B83" i="18"/>
  <c r="L83" i="18"/>
  <c r="G83" i="18"/>
  <c r="I83" i="18"/>
  <c r="F83" i="18"/>
  <c r="D83" i="18"/>
  <c r="C83" i="18"/>
  <c r="H83" i="18"/>
  <c r="O81" i="18"/>
  <c r="N81" i="18"/>
  <c r="M81" i="18"/>
  <c r="L81" i="18"/>
  <c r="K81" i="18"/>
  <c r="J81" i="18"/>
  <c r="I81" i="18"/>
  <c r="H81" i="18"/>
  <c r="G81" i="18"/>
  <c r="F81" i="18"/>
  <c r="D81" i="18"/>
  <c r="C81" i="18"/>
  <c r="B81" i="18"/>
  <c r="O80" i="18"/>
  <c r="N80" i="18"/>
  <c r="M80" i="18"/>
  <c r="L80" i="18"/>
  <c r="K80" i="18"/>
  <c r="J80" i="18"/>
  <c r="I80" i="18"/>
  <c r="H80" i="18"/>
  <c r="G80" i="18"/>
  <c r="F80" i="18"/>
  <c r="D80" i="18"/>
  <c r="C80" i="18"/>
  <c r="B80" i="18"/>
  <c r="B79" i="18"/>
  <c r="H79" i="18"/>
  <c r="J79" i="18"/>
  <c r="G79" i="18"/>
  <c r="I79" i="18"/>
  <c r="F79" i="18"/>
  <c r="D79" i="18"/>
  <c r="C79" i="18"/>
  <c r="O79" i="18"/>
  <c r="N79" i="18"/>
  <c r="M79" i="18"/>
  <c r="L79" i="18"/>
  <c r="K79" i="18"/>
  <c r="I78" i="18"/>
  <c r="K78" i="18"/>
  <c r="L78" i="18"/>
  <c r="M78" i="18"/>
  <c r="N78" i="18"/>
  <c r="O78" i="18"/>
  <c r="J78" i="18"/>
  <c r="B78" i="18"/>
  <c r="C78" i="18"/>
  <c r="D78" i="18"/>
  <c r="F78" i="18"/>
  <c r="G78" i="18"/>
  <c r="H78" i="18"/>
  <c r="H77" i="18"/>
  <c r="I77" i="18"/>
  <c r="J77" i="18"/>
  <c r="K77" i="18"/>
  <c r="L77" i="18"/>
  <c r="O77" i="18"/>
  <c r="N77" i="18"/>
  <c r="B77" i="18"/>
  <c r="D77" i="18"/>
  <c r="C77" i="18"/>
  <c r="F77" i="18"/>
  <c r="G77" i="18"/>
  <c r="M77" i="18"/>
  <c r="I76" i="18"/>
  <c r="H76" i="18"/>
  <c r="G76" i="18"/>
  <c r="F76" i="18"/>
  <c r="D76" i="18"/>
  <c r="C76" i="18"/>
  <c r="B76" i="18"/>
  <c r="O76" i="18"/>
  <c r="N76" i="18"/>
  <c r="M76" i="18"/>
  <c r="L76" i="18"/>
  <c r="K76" i="18"/>
  <c r="J76" i="18"/>
  <c r="K75" i="18"/>
  <c r="D75" i="18"/>
  <c r="C75" i="18"/>
  <c r="B75" i="18"/>
  <c r="O75" i="18"/>
  <c r="N75" i="18"/>
  <c r="M75" i="18"/>
  <c r="L75" i="18"/>
  <c r="J75" i="18"/>
  <c r="I75" i="18"/>
  <c r="H75" i="18"/>
  <c r="G75" i="18"/>
  <c r="F75" i="18"/>
  <c r="K74" i="18"/>
  <c r="L74" i="18"/>
  <c r="F74" i="18"/>
  <c r="O74" i="18"/>
  <c r="N74" i="18"/>
  <c r="M74" i="18"/>
  <c r="B74" i="18"/>
  <c r="C74" i="18"/>
  <c r="D74" i="18"/>
  <c r="G74" i="18"/>
  <c r="I74" i="18"/>
  <c r="J74" i="18"/>
  <c r="H74" i="18"/>
  <c r="F73" i="18"/>
  <c r="C73" i="18"/>
  <c r="B73" i="18"/>
  <c r="O73" i="18"/>
  <c r="G73" i="18"/>
  <c r="M73" i="18"/>
  <c r="L73" i="18"/>
  <c r="K73" i="18"/>
  <c r="J73" i="18"/>
  <c r="I73" i="18"/>
  <c r="H73" i="18"/>
  <c r="D73" i="18"/>
  <c r="N73" i="18"/>
  <c r="K72" i="18"/>
  <c r="H72" i="18"/>
  <c r="L72" i="18"/>
  <c r="B72" i="18"/>
  <c r="C72" i="18"/>
  <c r="D72" i="18"/>
  <c r="F72" i="18"/>
  <c r="G72" i="18"/>
  <c r="I72" i="18"/>
  <c r="J72" i="18"/>
  <c r="M72" i="18"/>
  <c r="N72" i="18"/>
  <c r="O72" i="18"/>
  <c r="D71" i="18"/>
  <c r="B71" i="18"/>
  <c r="K71" i="18"/>
  <c r="L71" i="18"/>
  <c r="M71" i="18"/>
  <c r="N71" i="18"/>
  <c r="O71" i="18"/>
  <c r="C71" i="18"/>
  <c r="J71" i="18"/>
  <c r="F71" i="18"/>
  <c r="G71" i="18"/>
  <c r="H71" i="18"/>
  <c r="I71" i="18"/>
  <c r="B70" i="18"/>
  <c r="K70" i="18"/>
  <c r="L70" i="18"/>
  <c r="M70" i="18"/>
  <c r="N70" i="18"/>
  <c r="O70" i="18"/>
  <c r="D70" i="18"/>
  <c r="F70" i="18"/>
  <c r="G70" i="18"/>
  <c r="H70" i="18"/>
  <c r="I70" i="18"/>
  <c r="J70" i="18"/>
  <c r="C70" i="18"/>
  <c r="O69" i="18"/>
  <c r="N69" i="18"/>
  <c r="M69" i="18"/>
  <c r="L69" i="18"/>
  <c r="J69" i="18"/>
  <c r="I69" i="18"/>
  <c r="H69" i="18"/>
  <c r="G69" i="18"/>
  <c r="D69" i="18"/>
  <c r="K69" i="18"/>
  <c r="F69" i="18"/>
  <c r="C69" i="18"/>
  <c r="B69" i="18"/>
  <c r="H68" i="18"/>
  <c r="I68" i="18"/>
  <c r="J68" i="18"/>
  <c r="K68" i="18"/>
  <c r="L68" i="18"/>
  <c r="D68" i="18"/>
  <c r="C68" i="18"/>
  <c r="B68" i="18"/>
  <c r="M68" i="18"/>
  <c r="N68" i="18"/>
  <c r="O68" i="18"/>
  <c r="F68" i="18"/>
  <c r="G68" i="18"/>
  <c r="J67" i="18"/>
  <c r="G67" i="18"/>
  <c r="D67" i="18"/>
  <c r="H67" i="18"/>
  <c r="C67" i="18"/>
  <c r="E67" i="18" s="1"/>
  <c r="O67" i="18"/>
  <c r="N67" i="18"/>
  <c r="F67" i="18"/>
  <c r="M67" i="18"/>
  <c r="L67" i="18"/>
  <c r="K67" i="18"/>
  <c r="B67" i="18"/>
  <c r="I67" i="18"/>
  <c r="C66" i="18"/>
  <c r="D66" i="18"/>
  <c r="N66" i="18"/>
  <c r="O66" i="18"/>
  <c r="G66" i="18"/>
  <c r="M66" i="18"/>
  <c r="L66" i="18"/>
  <c r="K66" i="18"/>
  <c r="I66" i="18"/>
  <c r="H66" i="18"/>
  <c r="F66" i="18"/>
  <c r="J66" i="18"/>
  <c r="B66" i="18"/>
  <c r="F65" i="18"/>
  <c r="D65" i="18"/>
  <c r="G65" i="18"/>
  <c r="C65" i="18"/>
  <c r="E65" i="18" s="1"/>
  <c r="B65" i="18"/>
  <c r="I65" i="18"/>
  <c r="J65" i="18"/>
  <c r="H65" i="18"/>
  <c r="K65" i="18"/>
  <c r="L65" i="18"/>
  <c r="M65" i="18"/>
  <c r="N65" i="18"/>
  <c r="O65" i="18"/>
  <c r="N64" i="18"/>
  <c r="F64" i="18"/>
  <c r="H64" i="18"/>
  <c r="D64" i="18"/>
  <c r="C64" i="18"/>
  <c r="B64" i="18"/>
  <c r="O64" i="18"/>
  <c r="G64" i="18"/>
  <c r="I64" i="18"/>
  <c r="J64" i="18"/>
  <c r="K64" i="18"/>
  <c r="L64" i="18"/>
  <c r="M64" i="18"/>
  <c r="I63" i="18"/>
  <c r="K63" i="18"/>
  <c r="F63" i="18"/>
  <c r="D63" i="18"/>
  <c r="O63" i="18"/>
  <c r="B63" i="18"/>
  <c r="M63" i="18"/>
  <c r="J63" i="18"/>
  <c r="L63" i="18"/>
  <c r="H63" i="18"/>
  <c r="C63" i="18"/>
  <c r="E63" i="18" s="1"/>
  <c r="N63" i="18"/>
  <c r="G63" i="18"/>
  <c r="L62" i="18"/>
  <c r="K62" i="18"/>
  <c r="J62" i="18"/>
  <c r="I62" i="18"/>
  <c r="B62" i="18"/>
  <c r="H62" i="18"/>
  <c r="C62" i="18"/>
  <c r="D62" i="18"/>
  <c r="O62" i="18"/>
  <c r="N62" i="18"/>
  <c r="G62" i="18"/>
  <c r="F62" i="18"/>
  <c r="M62" i="18"/>
  <c r="O61" i="18"/>
  <c r="N61" i="18"/>
  <c r="M61" i="18"/>
  <c r="L61" i="18"/>
  <c r="K61" i="18"/>
  <c r="J61" i="18"/>
  <c r="I61" i="18"/>
  <c r="H61" i="18"/>
  <c r="G61" i="18"/>
  <c r="F61" i="18"/>
  <c r="D61" i="18"/>
  <c r="C61" i="18"/>
  <c r="B61" i="18"/>
  <c r="K60" i="18"/>
  <c r="O60" i="18"/>
  <c r="N60" i="18"/>
  <c r="M60" i="18"/>
  <c r="L60" i="18"/>
  <c r="J60" i="18"/>
  <c r="I60" i="18"/>
  <c r="H60" i="18"/>
  <c r="G60" i="18"/>
  <c r="F60" i="18"/>
  <c r="D60" i="18"/>
  <c r="C60" i="18"/>
  <c r="B60" i="18"/>
  <c r="B59" i="18"/>
  <c r="C59" i="18"/>
  <c r="D59" i="18"/>
  <c r="F59" i="18"/>
  <c r="J59" i="18"/>
  <c r="G59" i="18"/>
  <c r="I59" i="18"/>
  <c r="N59" i="18"/>
  <c r="H59" i="18"/>
  <c r="K59" i="18"/>
  <c r="L59" i="18"/>
  <c r="M59" i="18"/>
  <c r="O59" i="18"/>
  <c r="G58" i="18"/>
  <c r="O58" i="18"/>
  <c r="B58" i="18"/>
  <c r="C58" i="18"/>
  <c r="D58" i="18"/>
  <c r="F58" i="18"/>
  <c r="I58" i="18"/>
  <c r="J58" i="18"/>
  <c r="K58" i="18"/>
  <c r="L58" i="18"/>
  <c r="M58" i="18"/>
  <c r="N58" i="18"/>
  <c r="H58" i="18"/>
  <c r="H57" i="18"/>
  <c r="G57" i="18"/>
  <c r="F57" i="18"/>
  <c r="D57" i="18"/>
  <c r="B57" i="18"/>
  <c r="C57" i="18"/>
  <c r="O57" i="18"/>
  <c r="N57" i="18"/>
  <c r="M57" i="18"/>
  <c r="L57" i="18"/>
  <c r="K57" i="18"/>
  <c r="J57" i="18"/>
  <c r="I57" i="18"/>
  <c r="M56" i="18"/>
  <c r="H56" i="18"/>
  <c r="I56" i="18"/>
  <c r="J56" i="18"/>
  <c r="K56" i="18"/>
  <c r="L56" i="18"/>
  <c r="O56" i="18"/>
  <c r="B56" i="18"/>
  <c r="C56" i="18"/>
  <c r="D56" i="18"/>
  <c r="F56" i="18"/>
  <c r="G56" i="18"/>
  <c r="N56" i="18"/>
  <c r="O55" i="18"/>
  <c r="F55" i="18"/>
  <c r="N55" i="18"/>
  <c r="M55" i="18"/>
  <c r="L55" i="18"/>
  <c r="K55" i="18"/>
  <c r="J55" i="18"/>
  <c r="I55" i="18"/>
  <c r="H55" i="18"/>
  <c r="G55" i="18"/>
  <c r="D55" i="18"/>
  <c r="C55" i="18"/>
  <c r="B55" i="18"/>
  <c r="B54" i="18"/>
  <c r="C54" i="18"/>
  <c r="D54" i="18"/>
  <c r="F54" i="18"/>
  <c r="G54" i="18"/>
  <c r="H54" i="18"/>
  <c r="J54" i="18"/>
  <c r="K54" i="18"/>
  <c r="L54" i="18"/>
  <c r="M54" i="18"/>
  <c r="N54" i="18"/>
  <c r="O54" i="18"/>
  <c r="I54" i="18"/>
  <c r="O53" i="18"/>
  <c r="I53" i="18"/>
  <c r="J53" i="18"/>
  <c r="K53" i="18"/>
  <c r="L53" i="18"/>
  <c r="M53" i="18"/>
  <c r="N53" i="18"/>
  <c r="B53" i="18"/>
  <c r="C53" i="18"/>
  <c r="D53" i="18"/>
  <c r="F53" i="18"/>
  <c r="G53" i="18"/>
  <c r="H53" i="18"/>
  <c r="H52" i="18"/>
  <c r="B52" i="18"/>
  <c r="C52" i="18"/>
  <c r="D52" i="18"/>
  <c r="F52" i="18"/>
  <c r="N52" i="18"/>
  <c r="G52" i="18"/>
  <c r="I52" i="18"/>
  <c r="J52" i="18"/>
  <c r="O52" i="18"/>
  <c r="K52" i="18"/>
  <c r="L52" i="18"/>
  <c r="M52" i="18"/>
  <c r="C51" i="18"/>
  <c r="B51" i="18"/>
  <c r="G51" i="18"/>
  <c r="O51" i="18"/>
  <c r="N51" i="18"/>
  <c r="M51" i="18"/>
  <c r="L51" i="18"/>
  <c r="K51" i="18"/>
  <c r="J51" i="18"/>
  <c r="I51" i="18"/>
  <c r="H51" i="18"/>
  <c r="F51" i="18"/>
  <c r="D51" i="18"/>
  <c r="I50" i="18"/>
  <c r="O50" i="18"/>
  <c r="N50" i="18"/>
  <c r="M50" i="18"/>
  <c r="L50" i="18"/>
  <c r="K50" i="18"/>
  <c r="J50" i="18"/>
  <c r="H50" i="18"/>
  <c r="G50" i="18"/>
  <c r="F50" i="18"/>
  <c r="D50" i="18"/>
  <c r="C50" i="18"/>
  <c r="B50" i="18"/>
  <c r="D49" i="18"/>
  <c r="C49" i="18"/>
  <c r="J49" i="18"/>
  <c r="O49" i="18"/>
  <c r="N49" i="18"/>
  <c r="M49" i="18"/>
  <c r="L49" i="18"/>
  <c r="K49" i="18"/>
  <c r="B49" i="18"/>
  <c r="I49" i="18"/>
  <c r="H49" i="18"/>
  <c r="G49" i="18"/>
  <c r="F49" i="18"/>
  <c r="D48" i="18"/>
  <c r="C48" i="18"/>
  <c r="B48" i="18"/>
  <c r="O48" i="18"/>
  <c r="N48" i="18"/>
  <c r="M48" i="18"/>
  <c r="L48" i="18"/>
  <c r="K48" i="18"/>
  <c r="J48" i="18"/>
  <c r="I48" i="18"/>
  <c r="H48" i="18"/>
  <c r="G48" i="18"/>
  <c r="F48" i="18"/>
  <c r="K47" i="18"/>
  <c r="O47" i="18"/>
  <c r="N47" i="18"/>
  <c r="M47" i="18"/>
  <c r="L47" i="18"/>
  <c r="J47" i="18"/>
  <c r="I47" i="18"/>
  <c r="H47" i="18"/>
  <c r="G47" i="18"/>
  <c r="F47" i="18"/>
  <c r="D47" i="18"/>
  <c r="C47" i="18"/>
  <c r="B47" i="18"/>
  <c r="L46" i="18"/>
  <c r="N46" i="18"/>
  <c r="M46" i="18"/>
  <c r="O46" i="18"/>
  <c r="K46" i="18"/>
  <c r="J46" i="18"/>
  <c r="I46" i="18"/>
  <c r="H46" i="18"/>
  <c r="G46" i="18"/>
  <c r="F46" i="18"/>
  <c r="D46" i="18"/>
  <c r="C46" i="18"/>
  <c r="B46" i="18"/>
  <c r="C45" i="18"/>
  <c r="B45" i="18"/>
  <c r="D45" i="18"/>
  <c r="O45" i="18"/>
  <c r="N45" i="18"/>
  <c r="M45" i="18"/>
  <c r="L45" i="18"/>
  <c r="K45" i="18"/>
  <c r="J45" i="18"/>
  <c r="I45" i="18"/>
  <c r="H45" i="18"/>
  <c r="G45" i="18"/>
  <c r="F45" i="18"/>
  <c r="D44" i="18"/>
  <c r="B44" i="18"/>
  <c r="C44" i="18"/>
  <c r="O44" i="18"/>
  <c r="N44" i="18"/>
  <c r="M44" i="18"/>
  <c r="L44" i="18"/>
  <c r="K44" i="18"/>
  <c r="J44" i="18"/>
  <c r="I44" i="18"/>
  <c r="H44" i="18"/>
  <c r="G44" i="18"/>
  <c r="F44" i="18"/>
  <c r="I43" i="18"/>
  <c r="N43" i="18"/>
  <c r="M43" i="18"/>
  <c r="L43" i="18"/>
  <c r="K43" i="18"/>
  <c r="H43" i="18"/>
  <c r="G43" i="18"/>
  <c r="F43" i="18"/>
  <c r="D43" i="18"/>
  <c r="C43" i="18"/>
  <c r="B43" i="18"/>
  <c r="D42" i="18"/>
  <c r="C42" i="18"/>
  <c r="M42" i="18"/>
  <c r="N42" i="18"/>
  <c r="B42" i="18"/>
  <c r="L42" i="18"/>
  <c r="K42" i="18"/>
  <c r="I42" i="18"/>
  <c r="H42" i="18"/>
  <c r="G42" i="18"/>
  <c r="F42" i="18"/>
  <c r="D41" i="18"/>
  <c r="C41" i="18"/>
  <c r="B41" i="18"/>
  <c r="N41" i="18"/>
  <c r="M41" i="18"/>
  <c r="L41" i="18"/>
  <c r="K41" i="18"/>
  <c r="I41" i="18"/>
  <c r="H41" i="18"/>
  <c r="G41" i="18"/>
  <c r="F41" i="18"/>
  <c r="N40" i="18"/>
  <c r="M40" i="18"/>
  <c r="L40" i="18"/>
  <c r="K40" i="18"/>
  <c r="I40" i="18"/>
  <c r="H40" i="18"/>
  <c r="G40" i="18"/>
  <c r="F40" i="18"/>
  <c r="D40" i="18"/>
  <c r="C40" i="18"/>
  <c r="B40" i="18"/>
  <c r="L39" i="18"/>
  <c r="N39" i="18"/>
  <c r="M39" i="18"/>
  <c r="K39" i="18"/>
  <c r="I39" i="18"/>
  <c r="H39" i="18"/>
  <c r="G39" i="18"/>
  <c r="F39" i="18"/>
  <c r="D39" i="18"/>
  <c r="C39" i="18"/>
  <c r="B39" i="18"/>
  <c r="B38" i="18"/>
  <c r="D38" i="18"/>
  <c r="C38" i="18"/>
  <c r="N38" i="18"/>
  <c r="M38" i="18"/>
  <c r="L38" i="18"/>
  <c r="K38" i="18"/>
  <c r="I38" i="18"/>
  <c r="H38" i="18"/>
  <c r="G38" i="18"/>
  <c r="F38" i="18"/>
  <c r="D37" i="18"/>
  <c r="C37" i="18"/>
  <c r="B37" i="18"/>
  <c r="N37" i="18"/>
  <c r="M37" i="18"/>
  <c r="L37" i="18"/>
  <c r="K37" i="18"/>
  <c r="I37" i="18"/>
  <c r="H37" i="18"/>
  <c r="G37" i="18"/>
  <c r="F37" i="18"/>
  <c r="H36" i="18"/>
  <c r="N36" i="18"/>
  <c r="M36" i="18"/>
  <c r="L36" i="18"/>
  <c r="K36" i="18"/>
  <c r="I36" i="18"/>
  <c r="G36" i="18"/>
  <c r="F36" i="18"/>
  <c r="D36" i="18"/>
  <c r="C36" i="18"/>
  <c r="B36" i="18"/>
  <c r="S104" i="16"/>
  <c r="Q104" i="16"/>
  <c r="V104" i="16"/>
  <c r="U104" i="16"/>
  <c r="T104" i="16"/>
  <c r="N104" i="16"/>
  <c r="R104" i="16"/>
  <c r="C104" i="16"/>
  <c r="P104" i="16"/>
  <c r="O104" i="16"/>
  <c r="B104" i="16"/>
  <c r="M104" i="16"/>
  <c r="L104" i="16"/>
  <c r="K104" i="16"/>
  <c r="J104" i="16"/>
  <c r="I104" i="16"/>
  <c r="H104" i="16"/>
  <c r="G104" i="16"/>
  <c r="F104" i="16"/>
  <c r="E104" i="16"/>
  <c r="D104" i="16"/>
  <c r="B103" i="16"/>
  <c r="C103" i="16"/>
  <c r="V103" i="16"/>
  <c r="U103" i="16"/>
  <c r="T103" i="16"/>
  <c r="S103" i="16"/>
  <c r="R103" i="16"/>
  <c r="Q103" i="16"/>
  <c r="P103" i="16"/>
  <c r="O103" i="16"/>
  <c r="N103" i="16"/>
  <c r="M103" i="16"/>
  <c r="L103" i="16"/>
  <c r="K103" i="16"/>
  <c r="J103" i="16"/>
  <c r="I103" i="16"/>
  <c r="H103" i="16"/>
  <c r="G103" i="16"/>
  <c r="F103" i="16"/>
  <c r="E103" i="16"/>
  <c r="D103" i="16"/>
  <c r="C102" i="16"/>
  <c r="B102" i="16"/>
  <c r="V102" i="16"/>
  <c r="U102" i="16"/>
  <c r="T102" i="16"/>
  <c r="S102" i="16"/>
  <c r="R102" i="16"/>
  <c r="Q102" i="16"/>
  <c r="P102" i="16"/>
  <c r="O102" i="16"/>
  <c r="N102" i="16"/>
  <c r="M102" i="16"/>
  <c r="L102" i="16"/>
  <c r="K102" i="16"/>
  <c r="J102" i="16"/>
  <c r="I102" i="16"/>
  <c r="H102" i="16"/>
  <c r="G102" i="16"/>
  <c r="F102" i="16"/>
  <c r="E102" i="16"/>
  <c r="D102" i="16"/>
  <c r="N101" i="16"/>
  <c r="C101" i="16"/>
  <c r="V101" i="16"/>
  <c r="U101" i="16"/>
  <c r="T101" i="16"/>
  <c r="S101" i="16"/>
  <c r="R101" i="16"/>
  <c r="Q101" i="16"/>
  <c r="P101" i="16"/>
  <c r="O101" i="16"/>
  <c r="D101" i="16"/>
  <c r="M101" i="16"/>
  <c r="L101" i="16"/>
  <c r="K101" i="16"/>
  <c r="J101" i="16"/>
  <c r="I101" i="16"/>
  <c r="H101" i="16"/>
  <c r="G101" i="16"/>
  <c r="F101" i="16"/>
  <c r="E101" i="16"/>
  <c r="B101" i="16"/>
  <c r="C100" i="16"/>
  <c r="B100" i="16"/>
  <c r="V100" i="16"/>
  <c r="U100" i="16"/>
  <c r="T100" i="16"/>
  <c r="S100" i="16"/>
  <c r="R100" i="16"/>
  <c r="Q100" i="16"/>
  <c r="P100" i="16"/>
  <c r="O100" i="16"/>
  <c r="N100" i="16"/>
  <c r="M100" i="16"/>
  <c r="L100" i="16"/>
  <c r="K100" i="16"/>
  <c r="J100" i="16"/>
  <c r="I100" i="16"/>
  <c r="H100" i="16"/>
  <c r="G100" i="16"/>
  <c r="F100" i="16"/>
  <c r="E100" i="16"/>
  <c r="D100" i="16"/>
  <c r="S99" i="16"/>
  <c r="C99" i="16"/>
  <c r="V99" i="16"/>
  <c r="U99" i="16"/>
  <c r="T99" i="16"/>
  <c r="N99" i="16"/>
  <c r="R99" i="16"/>
  <c r="Q99" i="16"/>
  <c r="P99" i="16"/>
  <c r="O99" i="16"/>
  <c r="B99" i="16"/>
  <c r="M99" i="16"/>
  <c r="L99" i="16"/>
  <c r="K99" i="16"/>
  <c r="J99" i="16"/>
  <c r="I99" i="16"/>
  <c r="H99" i="16"/>
  <c r="G99" i="16"/>
  <c r="F99" i="16"/>
  <c r="E99" i="16"/>
  <c r="D99" i="16"/>
  <c r="B98" i="16"/>
  <c r="C98" i="16"/>
  <c r="V98" i="16"/>
  <c r="U98" i="16"/>
  <c r="T98" i="16"/>
  <c r="S98" i="16"/>
  <c r="R98" i="16"/>
  <c r="Q98" i="16"/>
  <c r="P98" i="16"/>
  <c r="O98" i="16"/>
  <c r="N98" i="16"/>
  <c r="M98" i="16"/>
  <c r="L98" i="16"/>
  <c r="K98" i="16"/>
  <c r="J98" i="16"/>
  <c r="I98" i="16"/>
  <c r="H98" i="16"/>
  <c r="G98" i="16"/>
  <c r="F98" i="16"/>
  <c r="E98" i="16"/>
  <c r="D98" i="16"/>
  <c r="C97" i="16"/>
  <c r="B97" i="16"/>
  <c r="V97" i="16"/>
  <c r="U97" i="16"/>
  <c r="T97" i="16"/>
  <c r="S97" i="16"/>
  <c r="R97" i="16"/>
  <c r="Q97" i="16"/>
  <c r="P97" i="16"/>
  <c r="O97" i="16"/>
  <c r="N97" i="16"/>
  <c r="M97" i="16"/>
  <c r="L97" i="16"/>
  <c r="K97" i="16"/>
  <c r="J97" i="16"/>
  <c r="I97" i="16"/>
  <c r="H97" i="16"/>
  <c r="G97" i="16"/>
  <c r="F97" i="16"/>
  <c r="E97" i="16"/>
  <c r="D97" i="16"/>
  <c r="K96" i="16"/>
  <c r="C96" i="16"/>
  <c r="V96" i="16"/>
  <c r="U96" i="16"/>
  <c r="T96" i="16"/>
  <c r="S96" i="16"/>
  <c r="R96" i="16"/>
  <c r="Q96" i="16"/>
  <c r="P96" i="16"/>
  <c r="O96" i="16"/>
  <c r="N96" i="16"/>
  <c r="M96" i="16"/>
  <c r="L96" i="16"/>
  <c r="B96" i="16"/>
  <c r="J96" i="16"/>
  <c r="I96" i="16"/>
  <c r="H96" i="16"/>
  <c r="G96" i="16"/>
  <c r="F96" i="16"/>
  <c r="E96" i="16"/>
  <c r="D96" i="16"/>
  <c r="C95" i="16"/>
  <c r="N95" i="16"/>
  <c r="V95" i="16"/>
  <c r="U95" i="16"/>
  <c r="T95" i="16"/>
  <c r="S95" i="16"/>
  <c r="R95" i="16"/>
  <c r="Q95" i="16"/>
  <c r="P95" i="16"/>
  <c r="O95" i="16"/>
  <c r="B95" i="16"/>
  <c r="M95" i="16"/>
  <c r="L95" i="16"/>
  <c r="K95" i="16"/>
  <c r="J95" i="16"/>
  <c r="I95" i="16"/>
  <c r="H95" i="16"/>
  <c r="G95" i="16"/>
  <c r="F95" i="16"/>
  <c r="E95" i="16"/>
  <c r="D95" i="16"/>
  <c r="C94" i="16"/>
  <c r="S94" i="16"/>
  <c r="V94" i="16"/>
  <c r="U94" i="16"/>
  <c r="T94" i="16"/>
  <c r="B94" i="16"/>
  <c r="R94" i="16"/>
  <c r="Q94" i="16"/>
  <c r="P94" i="16"/>
  <c r="O94" i="16"/>
  <c r="N94" i="16"/>
  <c r="M94" i="16"/>
  <c r="L94" i="16"/>
  <c r="K94" i="16"/>
  <c r="J94" i="16"/>
  <c r="I94" i="16"/>
  <c r="H94" i="16"/>
  <c r="G94" i="16"/>
  <c r="F94" i="16"/>
  <c r="E94" i="16"/>
  <c r="D94" i="16"/>
  <c r="S93" i="16"/>
  <c r="C93" i="16"/>
  <c r="V93" i="16"/>
  <c r="U93" i="16"/>
  <c r="T93" i="16"/>
  <c r="N93" i="16"/>
  <c r="R93" i="16"/>
  <c r="Q93" i="16"/>
  <c r="P93" i="16"/>
  <c r="O93" i="16"/>
  <c r="B93" i="16"/>
  <c r="M93" i="16"/>
  <c r="L93" i="16"/>
  <c r="K93" i="16"/>
  <c r="J93" i="16"/>
  <c r="I93" i="16"/>
  <c r="H93" i="16"/>
  <c r="G93" i="16"/>
  <c r="F93" i="16"/>
  <c r="E93" i="16"/>
  <c r="D93" i="16"/>
  <c r="N92" i="16"/>
  <c r="C92" i="16"/>
  <c r="V92" i="16"/>
  <c r="U92" i="16"/>
  <c r="T92" i="16"/>
  <c r="S92" i="16"/>
  <c r="R92" i="16"/>
  <c r="Q92" i="16"/>
  <c r="P92" i="16"/>
  <c r="O92" i="16"/>
  <c r="B92" i="16"/>
  <c r="M92" i="16"/>
  <c r="L92" i="16"/>
  <c r="K92" i="16"/>
  <c r="J92" i="16"/>
  <c r="I92" i="16"/>
  <c r="H92" i="16"/>
  <c r="G92" i="16"/>
  <c r="F92" i="16"/>
  <c r="E92" i="16"/>
  <c r="D92" i="16"/>
  <c r="C91" i="16"/>
  <c r="B91" i="16"/>
  <c r="V91" i="16"/>
  <c r="U91" i="16"/>
  <c r="T91" i="16"/>
  <c r="S91" i="16"/>
  <c r="R91" i="16"/>
  <c r="Q91" i="16"/>
  <c r="P91" i="16"/>
  <c r="O91" i="16"/>
  <c r="N91" i="16"/>
  <c r="M91" i="16"/>
  <c r="L91" i="16"/>
  <c r="K91" i="16"/>
  <c r="J91" i="16"/>
  <c r="I91" i="16"/>
  <c r="H91" i="16"/>
  <c r="G91" i="16"/>
  <c r="F91" i="16"/>
  <c r="E91" i="16"/>
  <c r="D91" i="16"/>
  <c r="H90" i="16"/>
  <c r="D90" i="16"/>
  <c r="E90" i="16"/>
  <c r="F90" i="16"/>
  <c r="G90" i="16"/>
  <c r="M90" i="16"/>
  <c r="I90" i="16"/>
  <c r="J90" i="16"/>
  <c r="K90" i="16"/>
  <c r="L90" i="16"/>
  <c r="T90" i="16"/>
  <c r="N90" i="16"/>
  <c r="O90" i="16"/>
  <c r="P90" i="16"/>
  <c r="Q90" i="16"/>
  <c r="R90" i="16"/>
  <c r="U90" i="16"/>
  <c r="S90" i="16"/>
  <c r="V90" i="16"/>
  <c r="C90" i="16"/>
  <c r="B90" i="16"/>
  <c r="D89" i="16"/>
  <c r="E89" i="16"/>
  <c r="F89" i="16"/>
  <c r="G89" i="16"/>
  <c r="H89" i="16"/>
  <c r="I89" i="16"/>
  <c r="J89" i="16"/>
  <c r="K89" i="16"/>
  <c r="L89" i="16"/>
  <c r="M89" i="16"/>
  <c r="C89" i="16"/>
  <c r="O89" i="16"/>
  <c r="P89" i="16"/>
  <c r="Q89" i="16"/>
  <c r="R89" i="16"/>
  <c r="N89" i="16"/>
  <c r="T89" i="16"/>
  <c r="U89" i="16"/>
  <c r="V89" i="16"/>
  <c r="B89" i="16"/>
  <c r="S89" i="16"/>
  <c r="D88" i="16"/>
  <c r="F88" i="16"/>
  <c r="G88" i="16"/>
  <c r="H88" i="16"/>
  <c r="I88" i="16"/>
  <c r="J88" i="16"/>
  <c r="K88" i="16"/>
  <c r="L88" i="16"/>
  <c r="M88" i="16"/>
  <c r="N88" i="16"/>
  <c r="O88" i="16"/>
  <c r="P88" i="16"/>
  <c r="Q88" i="16"/>
  <c r="R88" i="16"/>
  <c r="C88" i="16"/>
  <c r="T88" i="16"/>
  <c r="U88" i="16"/>
  <c r="V88" i="16"/>
  <c r="S88" i="16"/>
  <c r="B88" i="16"/>
  <c r="E88" i="16"/>
  <c r="P87" i="16"/>
  <c r="V87" i="16"/>
  <c r="U87" i="16"/>
  <c r="T87" i="16"/>
  <c r="S87" i="16"/>
  <c r="R87" i="16"/>
  <c r="Q87" i="16"/>
  <c r="I87" i="16"/>
  <c r="O87" i="16"/>
  <c r="N87" i="16"/>
  <c r="M87" i="16"/>
  <c r="L87" i="16"/>
  <c r="K87" i="16"/>
  <c r="J87" i="16"/>
  <c r="B87" i="16"/>
  <c r="H87" i="16"/>
  <c r="G87" i="16"/>
  <c r="F87" i="16"/>
  <c r="E87" i="16"/>
  <c r="D87" i="16"/>
  <c r="C87" i="16"/>
  <c r="T86" i="16"/>
  <c r="V86" i="16"/>
  <c r="U86" i="16"/>
  <c r="S86" i="16"/>
  <c r="R86" i="16"/>
  <c r="Q86" i="16"/>
  <c r="P86" i="16"/>
  <c r="O86" i="16"/>
  <c r="N86" i="16"/>
  <c r="M86" i="16"/>
  <c r="L86" i="16"/>
  <c r="K86" i="16"/>
  <c r="J86" i="16"/>
  <c r="I86" i="16"/>
  <c r="H86" i="16"/>
  <c r="G86" i="16"/>
  <c r="F86" i="16"/>
  <c r="E86" i="16"/>
  <c r="D86" i="16"/>
  <c r="C86" i="16"/>
  <c r="B86" i="16"/>
  <c r="V85" i="16"/>
  <c r="U85" i="16"/>
  <c r="T85" i="16"/>
  <c r="S85" i="16"/>
  <c r="R85" i="16"/>
  <c r="Q85" i="16"/>
  <c r="P85" i="16"/>
  <c r="O85" i="16"/>
  <c r="N85" i="16"/>
  <c r="M85" i="16"/>
  <c r="L85" i="16"/>
  <c r="K85" i="16"/>
  <c r="J85" i="16"/>
  <c r="I85" i="16"/>
  <c r="H85" i="16"/>
  <c r="G85" i="16"/>
  <c r="F85" i="16"/>
  <c r="E85" i="16"/>
  <c r="D85" i="16"/>
  <c r="C85" i="16"/>
  <c r="B85" i="16"/>
  <c r="N84" i="16"/>
  <c r="V84" i="16"/>
  <c r="U84" i="16"/>
  <c r="T84" i="16"/>
  <c r="S84" i="16"/>
  <c r="R84" i="16"/>
  <c r="Q84" i="16"/>
  <c r="P84" i="16"/>
  <c r="O84" i="16"/>
  <c r="M84" i="16"/>
  <c r="L84" i="16"/>
  <c r="K84" i="16"/>
  <c r="J84" i="16"/>
  <c r="I84" i="16"/>
  <c r="H84" i="16"/>
  <c r="G84" i="16"/>
  <c r="F84" i="16"/>
  <c r="E84" i="16"/>
  <c r="D84" i="16"/>
  <c r="C84" i="16"/>
  <c r="B84" i="16"/>
  <c r="C83" i="16"/>
  <c r="Q83" i="16"/>
  <c r="R83" i="16"/>
  <c r="S83" i="16"/>
  <c r="B83" i="16"/>
  <c r="G83" i="16"/>
  <c r="D83" i="16"/>
  <c r="E83" i="16"/>
  <c r="F83" i="16"/>
  <c r="T83" i="16"/>
  <c r="U83" i="16"/>
  <c r="H83" i="16"/>
  <c r="I83" i="16"/>
  <c r="V83" i="16"/>
  <c r="J83" i="16"/>
  <c r="K83" i="16"/>
  <c r="L83" i="16"/>
  <c r="M83" i="16"/>
  <c r="N83" i="16"/>
  <c r="O83" i="16"/>
  <c r="P83" i="16"/>
  <c r="S82" i="16"/>
  <c r="T82" i="16"/>
  <c r="U82" i="16"/>
  <c r="I82" i="16"/>
  <c r="H82" i="16"/>
  <c r="V82" i="16"/>
  <c r="E82" i="16"/>
  <c r="F82" i="16"/>
  <c r="B82" i="16"/>
  <c r="C82" i="16"/>
  <c r="D82" i="16"/>
  <c r="G82" i="16"/>
  <c r="R82" i="16"/>
  <c r="Q82" i="16"/>
  <c r="P82" i="16"/>
  <c r="O82" i="16"/>
  <c r="N82" i="16"/>
  <c r="M82" i="16"/>
  <c r="L82" i="16"/>
  <c r="K82" i="16"/>
  <c r="J82" i="16"/>
  <c r="K81" i="16"/>
  <c r="M81" i="16"/>
  <c r="N81" i="16"/>
  <c r="P81" i="16"/>
  <c r="Q81" i="16"/>
  <c r="R81" i="16"/>
  <c r="S81" i="16"/>
  <c r="T81" i="16"/>
  <c r="U81" i="16"/>
  <c r="V81" i="16"/>
  <c r="O81" i="16"/>
  <c r="L81" i="16"/>
  <c r="B81" i="16"/>
  <c r="C81" i="16"/>
  <c r="D81" i="16"/>
  <c r="E81" i="16"/>
  <c r="F81" i="16"/>
  <c r="G81" i="16"/>
  <c r="H81" i="16"/>
  <c r="I81" i="16"/>
  <c r="J81" i="16"/>
  <c r="T80" i="16"/>
  <c r="P80" i="16"/>
  <c r="O80" i="16"/>
  <c r="N80" i="16"/>
  <c r="M80" i="16"/>
  <c r="H80" i="16"/>
  <c r="L80" i="16"/>
  <c r="K80" i="16"/>
  <c r="V80" i="16"/>
  <c r="U80" i="16"/>
  <c r="I80" i="16"/>
  <c r="S80" i="16"/>
  <c r="R80" i="16"/>
  <c r="Q80" i="16"/>
  <c r="G80" i="16"/>
  <c r="F80" i="16"/>
  <c r="E80" i="16"/>
  <c r="D80" i="16"/>
  <c r="C80" i="16"/>
  <c r="B80" i="16"/>
  <c r="J80" i="16"/>
  <c r="L79" i="16"/>
  <c r="M79" i="16"/>
  <c r="N79" i="16"/>
  <c r="O79" i="16"/>
  <c r="P79" i="16"/>
  <c r="R79" i="16"/>
  <c r="S79" i="16"/>
  <c r="Q79" i="16"/>
  <c r="V79" i="16"/>
  <c r="U79" i="16"/>
  <c r="T79" i="16"/>
  <c r="F79" i="16"/>
  <c r="E79" i="16"/>
  <c r="D79" i="16"/>
  <c r="G79" i="16"/>
  <c r="C79" i="16"/>
  <c r="B79" i="16"/>
  <c r="H79" i="16"/>
  <c r="J79" i="16"/>
  <c r="K79" i="16"/>
  <c r="I79" i="16"/>
  <c r="N78" i="16"/>
  <c r="O78" i="16"/>
  <c r="P78" i="16"/>
  <c r="Q78" i="16"/>
  <c r="R78" i="16"/>
  <c r="S78" i="16"/>
  <c r="T78" i="16"/>
  <c r="U78" i="16"/>
  <c r="V78" i="16"/>
  <c r="C78" i="16"/>
  <c r="B78" i="16"/>
  <c r="D78" i="16"/>
  <c r="E78" i="16"/>
  <c r="F78" i="16"/>
  <c r="G78" i="16"/>
  <c r="H78" i="16"/>
  <c r="I78" i="16"/>
  <c r="J78" i="16"/>
  <c r="K78" i="16"/>
  <c r="L78" i="16"/>
  <c r="M78" i="16"/>
  <c r="N77" i="16"/>
  <c r="H77" i="16"/>
  <c r="J77" i="16"/>
  <c r="K77" i="16"/>
  <c r="L77" i="16"/>
  <c r="M77" i="16"/>
  <c r="O77" i="16"/>
  <c r="P77" i="16"/>
  <c r="Q77" i="16"/>
  <c r="R77" i="16"/>
  <c r="S77" i="16"/>
  <c r="T77" i="16"/>
  <c r="U77" i="16"/>
  <c r="I77" i="16"/>
  <c r="B77" i="16"/>
  <c r="F77" i="16"/>
  <c r="C77" i="16"/>
  <c r="D77" i="16"/>
  <c r="E77" i="16"/>
  <c r="G77" i="16"/>
  <c r="V77" i="16"/>
  <c r="L76" i="16"/>
  <c r="K76" i="16"/>
  <c r="J76" i="16"/>
  <c r="I76" i="16"/>
  <c r="H76" i="16"/>
  <c r="G76" i="16"/>
  <c r="F76" i="16"/>
  <c r="E76" i="16"/>
  <c r="C76" i="16"/>
  <c r="B76" i="16"/>
  <c r="D76" i="16"/>
  <c r="V76" i="16"/>
  <c r="U76" i="16"/>
  <c r="T76" i="16"/>
  <c r="S76" i="16"/>
  <c r="R76" i="16"/>
  <c r="Q76" i="16"/>
  <c r="P76" i="16"/>
  <c r="O76" i="16"/>
  <c r="N76" i="16"/>
  <c r="M76" i="16"/>
  <c r="M75" i="16"/>
  <c r="N75" i="16"/>
  <c r="U75" i="16"/>
  <c r="O75" i="16"/>
  <c r="V75" i="16"/>
  <c r="G75" i="16"/>
  <c r="H75" i="16"/>
  <c r="S75" i="16"/>
  <c r="F75" i="16"/>
  <c r="E75" i="16"/>
  <c r="D75" i="16"/>
  <c r="C75" i="16"/>
  <c r="B75" i="16"/>
  <c r="L75" i="16"/>
  <c r="K75" i="16"/>
  <c r="J75" i="16"/>
  <c r="I75" i="16"/>
  <c r="P75" i="16"/>
  <c r="Q75" i="16"/>
  <c r="R75" i="16"/>
  <c r="T75" i="16"/>
  <c r="H74" i="16"/>
  <c r="G74" i="16"/>
  <c r="F74" i="16"/>
  <c r="E74" i="16"/>
  <c r="C74" i="16"/>
  <c r="B74" i="16"/>
  <c r="V74" i="16"/>
  <c r="I74" i="16"/>
  <c r="J74" i="16"/>
  <c r="K74" i="16"/>
  <c r="D74" i="16"/>
  <c r="L74" i="16"/>
  <c r="M74" i="16"/>
  <c r="N74" i="16"/>
  <c r="O74" i="16"/>
  <c r="P74" i="16"/>
  <c r="Q74" i="16"/>
  <c r="R74" i="16"/>
  <c r="S74" i="16"/>
  <c r="T74" i="16"/>
  <c r="U74" i="16"/>
  <c r="V73" i="16"/>
  <c r="U73" i="16"/>
  <c r="S73" i="16"/>
  <c r="C73" i="16"/>
  <c r="B73" i="16"/>
  <c r="D73" i="16"/>
  <c r="E73" i="16"/>
  <c r="T73" i="16"/>
  <c r="F73" i="16"/>
  <c r="H73" i="16"/>
  <c r="I73" i="16"/>
  <c r="J73" i="16"/>
  <c r="K73" i="16"/>
  <c r="G73" i="16"/>
  <c r="L73" i="16"/>
  <c r="M73" i="16"/>
  <c r="N73" i="16"/>
  <c r="O73" i="16"/>
  <c r="P73" i="16"/>
  <c r="Q73" i="16"/>
  <c r="R73" i="16"/>
  <c r="L72" i="16"/>
  <c r="M72" i="16"/>
  <c r="N72" i="16"/>
  <c r="O72" i="16"/>
  <c r="P72" i="16"/>
  <c r="Q72" i="16"/>
  <c r="R72" i="16"/>
  <c r="S72" i="16"/>
  <c r="T72" i="16"/>
  <c r="U72" i="16"/>
  <c r="V72" i="16"/>
  <c r="B72" i="16"/>
  <c r="C72" i="16"/>
  <c r="D72" i="16"/>
  <c r="E72" i="16"/>
  <c r="F72" i="16"/>
  <c r="G72" i="16"/>
  <c r="H72" i="16"/>
  <c r="I72" i="16"/>
  <c r="J72" i="16"/>
  <c r="K72" i="16"/>
  <c r="V71" i="16"/>
  <c r="M71" i="16"/>
  <c r="N71" i="16"/>
  <c r="B71" i="16"/>
  <c r="C71" i="16"/>
  <c r="D71" i="16"/>
  <c r="E71" i="16"/>
  <c r="F71" i="16"/>
  <c r="G71" i="16"/>
  <c r="H71" i="16"/>
  <c r="O71" i="16"/>
  <c r="I71" i="16"/>
  <c r="Q71" i="16"/>
  <c r="R71" i="16"/>
  <c r="S71" i="16"/>
  <c r="T71" i="16"/>
  <c r="U71" i="16"/>
  <c r="P71" i="16"/>
  <c r="J71" i="16"/>
  <c r="K71" i="16"/>
  <c r="L71" i="16"/>
  <c r="E70" i="16"/>
  <c r="N70" i="16"/>
  <c r="M70" i="16"/>
  <c r="V70" i="16"/>
  <c r="U70" i="16"/>
  <c r="T70" i="16"/>
  <c r="S70" i="16"/>
  <c r="R70" i="16"/>
  <c r="Q70" i="16"/>
  <c r="P70" i="16"/>
  <c r="O70" i="16"/>
  <c r="L70" i="16"/>
  <c r="K70" i="16"/>
  <c r="J70" i="16"/>
  <c r="I70" i="16"/>
  <c r="H70" i="16"/>
  <c r="G70" i="16"/>
  <c r="F70" i="16"/>
  <c r="D70" i="16"/>
  <c r="C70" i="16"/>
  <c r="B70" i="16"/>
  <c r="U69" i="16"/>
  <c r="F69" i="16"/>
  <c r="P69" i="16"/>
  <c r="M69" i="16"/>
  <c r="L69" i="16"/>
  <c r="R69" i="16"/>
  <c r="K69" i="16"/>
  <c r="C69" i="16"/>
  <c r="J69" i="16"/>
  <c r="I69" i="16"/>
  <c r="H69" i="16"/>
  <c r="V69" i="16"/>
  <c r="T69" i="16"/>
  <c r="S69" i="16"/>
  <c r="Q69" i="16"/>
  <c r="O69" i="16"/>
  <c r="G69" i="16"/>
  <c r="B69" i="16"/>
  <c r="N69" i="16"/>
  <c r="D69" i="16"/>
  <c r="E69" i="16"/>
  <c r="E68" i="16"/>
  <c r="F68" i="16"/>
  <c r="G68" i="16"/>
  <c r="H68" i="16"/>
  <c r="I68" i="16"/>
  <c r="K68" i="16"/>
  <c r="L68" i="16"/>
  <c r="M68" i="16"/>
  <c r="O68" i="16"/>
  <c r="P68" i="16"/>
  <c r="Q68" i="16"/>
  <c r="R68" i="16"/>
  <c r="S68" i="16"/>
  <c r="T68" i="16"/>
  <c r="U68" i="16"/>
  <c r="N68" i="16"/>
  <c r="B68" i="16"/>
  <c r="V68" i="16"/>
  <c r="D68" i="16"/>
  <c r="C68" i="16"/>
  <c r="J68" i="16"/>
  <c r="V67" i="16"/>
  <c r="T67" i="16"/>
  <c r="U67" i="16"/>
  <c r="S67" i="16"/>
  <c r="R67" i="16"/>
  <c r="P67" i="16"/>
  <c r="O67" i="16"/>
  <c r="L67" i="16"/>
  <c r="N67" i="16"/>
  <c r="M67" i="16"/>
  <c r="Q67" i="16"/>
  <c r="K67" i="16"/>
  <c r="J67" i="16"/>
  <c r="I67" i="16"/>
  <c r="H67" i="16"/>
  <c r="G67" i="16"/>
  <c r="F67" i="16"/>
  <c r="E67" i="16"/>
  <c r="D67" i="16"/>
  <c r="C67" i="16"/>
  <c r="B67" i="16"/>
  <c r="V66" i="16"/>
  <c r="U66" i="16"/>
  <c r="T66" i="16"/>
  <c r="S66" i="16"/>
  <c r="R66" i="16"/>
  <c r="Q66" i="16"/>
  <c r="P66" i="16"/>
  <c r="O66" i="16"/>
  <c r="N66" i="16"/>
  <c r="M66" i="16"/>
  <c r="L66" i="16"/>
  <c r="K66" i="16"/>
  <c r="J66" i="16"/>
  <c r="I66" i="16"/>
  <c r="B66" i="16"/>
  <c r="C66" i="16"/>
  <c r="H66" i="16"/>
  <c r="D66" i="16"/>
  <c r="E66" i="16"/>
  <c r="F66" i="16"/>
  <c r="G66" i="16"/>
  <c r="V65" i="16"/>
  <c r="B65" i="16"/>
  <c r="C65" i="16"/>
  <c r="D65" i="16"/>
  <c r="E65" i="16"/>
  <c r="F65" i="16"/>
  <c r="G65" i="16"/>
  <c r="H65" i="16"/>
  <c r="I65" i="16"/>
  <c r="J65" i="16"/>
  <c r="K65" i="16"/>
  <c r="L65" i="16"/>
  <c r="M65" i="16"/>
  <c r="N65" i="16"/>
  <c r="O65" i="16"/>
  <c r="P65" i="16"/>
  <c r="Q65" i="16"/>
  <c r="R65" i="16"/>
  <c r="S65" i="16"/>
  <c r="T65" i="16"/>
  <c r="U65" i="16"/>
  <c r="K63" i="16"/>
  <c r="J63" i="16"/>
  <c r="I63" i="16"/>
  <c r="H63" i="16"/>
  <c r="G63" i="16"/>
  <c r="F63" i="16"/>
  <c r="E63" i="16"/>
  <c r="D63" i="16"/>
  <c r="C63" i="16"/>
  <c r="B63" i="16"/>
  <c r="P63" i="16"/>
  <c r="V63" i="16"/>
  <c r="U63" i="16"/>
  <c r="T63" i="16"/>
  <c r="S63" i="16"/>
  <c r="R63" i="16"/>
  <c r="Q63" i="16"/>
  <c r="O63" i="16"/>
  <c r="N63" i="16"/>
  <c r="M63" i="16"/>
  <c r="L63" i="16"/>
  <c r="N62" i="16"/>
  <c r="B62" i="16"/>
  <c r="J62" i="16"/>
  <c r="E62" i="16"/>
  <c r="S62" i="16"/>
  <c r="T62" i="16"/>
  <c r="R62" i="16"/>
  <c r="Q62" i="16"/>
  <c r="P62" i="16"/>
  <c r="O62" i="16"/>
  <c r="M62" i="16"/>
  <c r="L62" i="16"/>
  <c r="K62" i="16"/>
  <c r="I62" i="16"/>
  <c r="U62" i="16"/>
  <c r="V62" i="16"/>
  <c r="C62" i="16"/>
  <c r="H62" i="16"/>
  <c r="G62" i="16"/>
  <c r="F62" i="16"/>
  <c r="D62" i="16"/>
  <c r="H61" i="16"/>
  <c r="T61" i="16"/>
  <c r="S61" i="16"/>
  <c r="R61" i="16"/>
  <c r="Q61" i="16"/>
  <c r="O61" i="16"/>
  <c r="N61" i="16"/>
  <c r="M61" i="16"/>
  <c r="L61" i="16"/>
  <c r="K61" i="16"/>
  <c r="J61" i="16"/>
  <c r="I61" i="16"/>
  <c r="G61" i="16"/>
  <c r="F61" i="16"/>
  <c r="D61" i="16"/>
  <c r="P61" i="16"/>
  <c r="B61" i="16"/>
  <c r="V61" i="16"/>
  <c r="E61" i="16"/>
  <c r="U61" i="16"/>
  <c r="C61" i="16"/>
  <c r="K60" i="16"/>
  <c r="M60" i="16"/>
  <c r="N60" i="16"/>
  <c r="O60" i="16"/>
  <c r="P60" i="16"/>
  <c r="Q60" i="16"/>
  <c r="R60" i="16"/>
  <c r="T60" i="16"/>
  <c r="U60" i="16"/>
  <c r="V60" i="16"/>
  <c r="G60" i="16"/>
  <c r="B60" i="16"/>
  <c r="C60" i="16"/>
  <c r="D60" i="16"/>
  <c r="E60" i="16"/>
  <c r="F60" i="16"/>
  <c r="H60" i="16"/>
  <c r="I60" i="16"/>
  <c r="S60" i="16"/>
  <c r="J60" i="16"/>
  <c r="L60" i="16"/>
  <c r="M59" i="16"/>
  <c r="N59" i="16"/>
  <c r="I59" i="16"/>
  <c r="P59" i="16"/>
  <c r="Q59" i="16"/>
  <c r="R59" i="16"/>
  <c r="S59" i="16"/>
  <c r="T59" i="16"/>
  <c r="H59" i="16"/>
  <c r="V59" i="16"/>
  <c r="C59" i="16"/>
  <c r="D59" i="16"/>
  <c r="E59" i="16"/>
  <c r="F59" i="16"/>
  <c r="G59" i="16"/>
  <c r="U59" i="16"/>
  <c r="O59" i="16"/>
  <c r="B59" i="16"/>
  <c r="L59" i="16"/>
  <c r="J59" i="16"/>
  <c r="K59" i="16"/>
  <c r="P58" i="16"/>
  <c r="O58" i="16"/>
  <c r="J58" i="16"/>
  <c r="N58" i="16"/>
  <c r="M58" i="16"/>
  <c r="L58" i="16"/>
  <c r="K58" i="16"/>
  <c r="V58" i="16"/>
  <c r="U58" i="16"/>
  <c r="I58" i="16"/>
  <c r="T58" i="16"/>
  <c r="G58" i="16"/>
  <c r="F58" i="16"/>
  <c r="E58" i="16"/>
  <c r="D58" i="16"/>
  <c r="H58" i="16"/>
  <c r="B58" i="16"/>
  <c r="Q58" i="16"/>
  <c r="S58" i="16"/>
  <c r="R58" i="16"/>
  <c r="C58" i="16"/>
  <c r="T57" i="16"/>
  <c r="U57" i="16"/>
  <c r="V57" i="16"/>
  <c r="O57" i="16"/>
  <c r="I57" i="16"/>
  <c r="J57" i="16"/>
  <c r="H57" i="16"/>
  <c r="K57" i="16"/>
  <c r="L57" i="16"/>
  <c r="M57" i="16"/>
  <c r="N57" i="16"/>
  <c r="P57" i="16"/>
  <c r="Q57" i="16"/>
  <c r="R57" i="16"/>
  <c r="S57" i="16"/>
  <c r="G57" i="16"/>
  <c r="F57" i="16"/>
  <c r="E57" i="16"/>
  <c r="D57" i="16"/>
  <c r="C57" i="16"/>
  <c r="B57" i="16"/>
  <c r="R56" i="16"/>
  <c r="Q56" i="16"/>
  <c r="P56" i="16"/>
  <c r="O56" i="16"/>
  <c r="N56" i="16"/>
  <c r="M56" i="16"/>
  <c r="L56" i="16"/>
  <c r="H56" i="16"/>
  <c r="K56" i="16"/>
  <c r="J56" i="16"/>
  <c r="I56" i="16"/>
  <c r="B56" i="16"/>
  <c r="C56" i="16"/>
  <c r="D56" i="16"/>
  <c r="E56" i="16"/>
  <c r="F56" i="16"/>
  <c r="G56" i="16"/>
  <c r="V56" i="16"/>
  <c r="U56" i="16"/>
  <c r="T56" i="16"/>
  <c r="S56" i="16"/>
  <c r="L55" i="16"/>
  <c r="K55" i="16"/>
  <c r="J55" i="16"/>
  <c r="I55" i="16"/>
  <c r="H55" i="16"/>
  <c r="G55" i="16"/>
  <c r="F55" i="16"/>
  <c r="D55" i="16"/>
  <c r="C55" i="16"/>
  <c r="B55" i="16"/>
  <c r="E55" i="16"/>
  <c r="V55" i="16"/>
  <c r="U55" i="16"/>
  <c r="T55" i="16"/>
  <c r="S55" i="16"/>
  <c r="R55" i="16"/>
  <c r="Q55" i="16"/>
  <c r="P55" i="16"/>
  <c r="O55" i="16"/>
  <c r="N55" i="16"/>
  <c r="M55" i="16"/>
  <c r="O54" i="16"/>
  <c r="P54" i="16"/>
  <c r="Q54" i="16"/>
  <c r="R54" i="16"/>
  <c r="B54" i="16"/>
  <c r="C54" i="16"/>
  <c r="D54" i="16"/>
  <c r="F54" i="16"/>
  <c r="G54" i="16"/>
  <c r="H54" i="16"/>
  <c r="L54" i="16"/>
  <c r="K54" i="16"/>
  <c r="J54" i="16"/>
  <c r="E54" i="16"/>
  <c r="I54" i="16"/>
  <c r="N54" i="16"/>
  <c r="M54" i="16"/>
  <c r="V54" i="16"/>
  <c r="U54" i="16"/>
  <c r="T54" i="16"/>
  <c r="S54" i="16"/>
  <c r="J53" i="16"/>
  <c r="V53" i="16"/>
  <c r="U53" i="16"/>
  <c r="T53" i="16"/>
  <c r="S53" i="16"/>
  <c r="R53" i="16"/>
  <c r="Q53" i="16"/>
  <c r="I53" i="16"/>
  <c r="P53" i="16"/>
  <c r="O53" i="16"/>
  <c r="N53" i="16"/>
  <c r="M53" i="16"/>
  <c r="L53" i="16"/>
  <c r="K53" i="16"/>
  <c r="B53" i="16"/>
  <c r="C53" i="16"/>
  <c r="D53" i="16"/>
  <c r="E53" i="16"/>
  <c r="F53" i="16"/>
  <c r="G53" i="16"/>
  <c r="H53" i="16"/>
  <c r="U52" i="16"/>
  <c r="T52" i="16"/>
  <c r="S52" i="16"/>
  <c r="R52" i="16"/>
  <c r="Q52" i="16"/>
  <c r="P52" i="16"/>
  <c r="O52" i="16"/>
  <c r="N52" i="16"/>
  <c r="M52" i="16"/>
  <c r="L52" i="16"/>
  <c r="K52" i="16"/>
  <c r="J52" i="16"/>
  <c r="I52" i="16"/>
  <c r="H52" i="16"/>
  <c r="G52" i="16"/>
  <c r="F52" i="16"/>
  <c r="E52" i="16"/>
  <c r="D52" i="16"/>
  <c r="C52" i="16"/>
  <c r="B52" i="16"/>
  <c r="V52" i="16"/>
  <c r="U51" i="16"/>
  <c r="T51" i="16"/>
  <c r="S51" i="16"/>
  <c r="R51" i="16"/>
  <c r="Q51" i="16"/>
  <c r="P51" i="16"/>
  <c r="O51" i="16"/>
  <c r="N51" i="16"/>
  <c r="M51" i="16"/>
  <c r="L51" i="16"/>
  <c r="K51" i="16"/>
  <c r="J51" i="16"/>
  <c r="I51" i="16"/>
  <c r="H51" i="16"/>
  <c r="F51" i="16"/>
  <c r="E51" i="16"/>
  <c r="D51" i="16"/>
  <c r="C51" i="16"/>
  <c r="B51" i="16"/>
  <c r="V51" i="16"/>
  <c r="G51" i="16"/>
  <c r="T50" i="16"/>
  <c r="S50" i="16"/>
  <c r="R50" i="16"/>
  <c r="Q50" i="16"/>
  <c r="P50" i="16"/>
  <c r="O50" i="16"/>
  <c r="N50" i="16"/>
  <c r="M50" i="16"/>
  <c r="L50" i="16"/>
  <c r="K50" i="16"/>
  <c r="J50" i="16"/>
  <c r="I50" i="16"/>
  <c r="H50" i="16"/>
  <c r="G50" i="16"/>
  <c r="F50" i="16"/>
  <c r="E50" i="16"/>
  <c r="D50" i="16"/>
  <c r="C50" i="16"/>
  <c r="B50" i="16"/>
  <c r="V50" i="16"/>
  <c r="U50" i="16"/>
  <c r="E49" i="16"/>
  <c r="T49" i="16"/>
  <c r="S49" i="16"/>
  <c r="R49" i="16"/>
  <c r="Q49" i="16"/>
  <c r="P49" i="16"/>
  <c r="O49" i="16"/>
  <c r="N49" i="16"/>
  <c r="M49" i="16"/>
  <c r="L49" i="16"/>
  <c r="U49" i="16"/>
  <c r="J49" i="16"/>
  <c r="I49" i="16"/>
  <c r="H49" i="16"/>
  <c r="G49" i="16"/>
  <c r="F49" i="16"/>
  <c r="V49" i="16"/>
  <c r="D49" i="16"/>
  <c r="C49" i="16"/>
  <c r="B49" i="16"/>
  <c r="K49" i="16"/>
  <c r="S48" i="16"/>
  <c r="Q48" i="16"/>
  <c r="O48" i="16"/>
  <c r="M48" i="16"/>
  <c r="K48" i="16"/>
  <c r="I48" i="16"/>
  <c r="G48" i="16"/>
  <c r="E48" i="16"/>
  <c r="C48" i="16"/>
  <c r="T48" i="16"/>
  <c r="B48" i="16"/>
  <c r="D48" i="16"/>
  <c r="F48" i="16"/>
  <c r="H48" i="16"/>
  <c r="J48" i="16"/>
  <c r="L48" i="16"/>
  <c r="N48" i="16"/>
  <c r="P48" i="16"/>
  <c r="R48" i="16"/>
  <c r="U48" i="16"/>
  <c r="V48" i="16"/>
  <c r="F47" i="16"/>
  <c r="K47" i="16"/>
  <c r="H47" i="16"/>
  <c r="D47" i="16"/>
  <c r="B47" i="16"/>
  <c r="E47" i="16"/>
  <c r="G47" i="16"/>
  <c r="I47" i="16"/>
  <c r="J47" i="16"/>
  <c r="L47" i="16"/>
  <c r="N47" i="16"/>
  <c r="P47" i="16"/>
  <c r="R47" i="16"/>
  <c r="V47" i="16"/>
  <c r="U47" i="16"/>
  <c r="T47" i="16"/>
  <c r="S47" i="16"/>
  <c r="Q47" i="16"/>
  <c r="O47" i="16"/>
  <c r="M47" i="16"/>
  <c r="C47" i="16"/>
  <c r="R46" i="16"/>
  <c r="P46" i="16"/>
  <c r="N46" i="16"/>
  <c r="B46" i="16"/>
  <c r="H46" i="16"/>
  <c r="C46" i="16"/>
  <c r="D46" i="16"/>
  <c r="E46" i="16"/>
  <c r="F46" i="16"/>
  <c r="G46" i="16"/>
  <c r="Q46" i="16"/>
  <c r="I46" i="16"/>
  <c r="J46" i="16"/>
  <c r="K46" i="16"/>
  <c r="L46" i="16"/>
  <c r="M46" i="16"/>
  <c r="O46" i="16"/>
  <c r="S46" i="16"/>
  <c r="V46" i="16"/>
  <c r="U46" i="16"/>
  <c r="T46" i="16"/>
  <c r="M45" i="16"/>
  <c r="K45" i="16"/>
  <c r="G45" i="16"/>
  <c r="E45" i="16"/>
  <c r="C45" i="16"/>
  <c r="B45" i="16"/>
  <c r="D45" i="16"/>
  <c r="F45" i="16"/>
  <c r="H45" i="16"/>
  <c r="J45" i="16"/>
  <c r="L45" i="16"/>
  <c r="N45" i="16"/>
  <c r="P45" i="16"/>
  <c r="R45" i="16"/>
  <c r="T45" i="16"/>
  <c r="U45" i="16"/>
  <c r="Q45" i="16"/>
  <c r="S45" i="16"/>
  <c r="O45" i="16"/>
  <c r="V45" i="16"/>
  <c r="I45" i="16"/>
  <c r="G44" i="16"/>
  <c r="I44" i="16"/>
  <c r="K44" i="16"/>
  <c r="M44" i="16"/>
  <c r="O44" i="16"/>
  <c r="Q44" i="16"/>
  <c r="R44" i="16"/>
  <c r="T44" i="16"/>
  <c r="U44" i="16"/>
  <c r="V44" i="16"/>
  <c r="L44" i="16"/>
  <c r="B44" i="16"/>
  <c r="D44" i="16"/>
  <c r="F44" i="16"/>
  <c r="H44" i="16"/>
  <c r="J44" i="16"/>
  <c r="N44" i="16"/>
  <c r="P44" i="16"/>
  <c r="S44" i="16"/>
  <c r="C44" i="16"/>
  <c r="E44" i="16"/>
  <c r="N43" i="16"/>
  <c r="O43" i="16"/>
  <c r="R43" i="16"/>
  <c r="D43" i="16"/>
  <c r="F43" i="16"/>
  <c r="H43" i="16"/>
  <c r="J43" i="16"/>
  <c r="L43" i="16"/>
  <c r="E43" i="16"/>
  <c r="P43" i="16"/>
  <c r="Q43" i="16"/>
  <c r="S43" i="16"/>
  <c r="T43" i="16"/>
  <c r="U43" i="16"/>
  <c r="V43" i="16"/>
  <c r="B43" i="16"/>
  <c r="M43" i="16"/>
  <c r="K43" i="16"/>
  <c r="I43" i="16"/>
  <c r="G43" i="16"/>
  <c r="C43" i="16"/>
  <c r="M42" i="16"/>
  <c r="O42" i="16"/>
  <c r="Q42" i="16"/>
  <c r="R42" i="16"/>
  <c r="T42" i="16"/>
  <c r="U42" i="16"/>
  <c r="V42" i="16"/>
  <c r="F42" i="16"/>
  <c r="D42" i="16"/>
  <c r="B42" i="16"/>
  <c r="H42" i="16"/>
  <c r="C42" i="16"/>
  <c r="E42" i="16"/>
  <c r="G42" i="16"/>
  <c r="I42" i="16"/>
  <c r="K42" i="16"/>
  <c r="S42" i="16"/>
  <c r="P42" i="16"/>
  <c r="N42" i="16"/>
  <c r="L42" i="16"/>
  <c r="J42" i="16"/>
  <c r="N41" i="16"/>
  <c r="L41" i="16"/>
  <c r="J41" i="16"/>
  <c r="H41" i="16"/>
  <c r="F41" i="16"/>
  <c r="D41" i="16"/>
  <c r="M41" i="16"/>
  <c r="R41" i="16"/>
  <c r="O41" i="16"/>
  <c r="U41" i="16"/>
  <c r="T41" i="16"/>
  <c r="S41" i="16"/>
  <c r="K41" i="16"/>
  <c r="V41" i="16"/>
  <c r="G41" i="16"/>
  <c r="I41" i="16"/>
  <c r="Q41" i="16"/>
  <c r="P41" i="16"/>
  <c r="C41" i="16"/>
  <c r="E41" i="16"/>
  <c r="B41" i="16"/>
  <c r="M40" i="16"/>
  <c r="K40" i="16"/>
  <c r="I40" i="16"/>
  <c r="F40" i="16"/>
  <c r="E40" i="16"/>
  <c r="D40" i="16"/>
  <c r="C40" i="16"/>
  <c r="B40" i="16"/>
  <c r="G40" i="16"/>
  <c r="S40" i="16"/>
  <c r="Q40" i="16"/>
  <c r="O40" i="16"/>
  <c r="N40" i="16"/>
  <c r="L40" i="16"/>
  <c r="J40" i="16"/>
  <c r="H40" i="16"/>
  <c r="V40" i="16"/>
  <c r="U40" i="16"/>
  <c r="T40" i="16"/>
  <c r="R40" i="16"/>
  <c r="P40" i="16"/>
  <c r="K39" i="16"/>
  <c r="J39" i="16"/>
  <c r="L39" i="16"/>
  <c r="N39" i="16"/>
  <c r="P39" i="16"/>
  <c r="R39" i="16"/>
  <c r="T39" i="16"/>
  <c r="U39" i="16"/>
  <c r="O39" i="16"/>
  <c r="M39" i="16"/>
  <c r="V39" i="16"/>
  <c r="H39" i="16"/>
  <c r="F39" i="16"/>
  <c r="D39" i="16"/>
  <c r="B39" i="16"/>
  <c r="Q39" i="16"/>
  <c r="S39" i="16"/>
  <c r="I39" i="16"/>
  <c r="G39" i="16"/>
  <c r="E39" i="16"/>
  <c r="C39" i="16"/>
  <c r="M38" i="16"/>
  <c r="K38" i="16"/>
  <c r="I38" i="16"/>
  <c r="G38" i="16"/>
  <c r="E38" i="16"/>
  <c r="C38" i="16"/>
  <c r="B38" i="16"/>
  <c r="O38" i="16"/>
  <c r="V38" i="16"/>
  <c r="U38" i="16"/>
  <c r="T38" i="16"/>
  <c r="S38" i="16"/>
  <c r="Q38" i="16"/>
  <c r="R38" i="16"/>
  <c r="P38" i="16"/>
  <c r="N38" i="16"/>
  <c r="L38" i="16"/>
  <c r="J38" i="16"/>
  <c r="H38" i="16"/>
  <c r="F38" i="16"/>
  <c r="D38" i="16"/>
  <c r="N37" i="16"/>
  <c r="V37" i="16"/>
  <c r="U37" i="16"/>
  <c r="R37" i="16"/>
  <c r="P37" i="16"/>
  <c r="L37" i="16"/>
  <c r="J37" i="16"/>
  <c r="H37" i="16"/>
  <c r="F37" i="16"/>
  <c r="D37" i="16"/>
  <c r="B37" i="16"/>
  <c r="Q37" i="16"/>
  <c r="T37" i="16"/>
  <c r="S37" i="16"/>
  <c r="C37" i="16"/>
  <c r="E37" i="16"/>
  <c r="G37" i="16"/>
  <c r="I37" i="16"/>
  <c r="K37" i="16"/>
  <c r="M37" i="16"/>
  <c r="O37" i="16"/>
  <c r="O36" i="16"/>
  <c r="M36" i="16"/>
  <c r="K36" i="16"/>
  <c r="I36" i="16"/>
  <c r="G36" i="16"/>
  <c r="E36" i="16"/>
  <c r="V36" i="16"/>
  <c r="T36" i="16"/>
  <c r="F36" i="16"/>
  <c r="R36" i="16"/>
  <c r="P36" i="16"/>
  <c r="B36" i="16"/>
  <c r="C36" i="16"/>
  <c r="D36" i="16"/>
  <c r="N36" i="16"/>
  <c r="L36" i="16"/>
  <c r="J36" i="16"/>
  <c r="H36" i="16"/>
  <c r="S36" i="16"/>
  <c r="Q36" i="16"/>
  <c r="U36" i="16"/>
  <c r="K35" i="16"/>
  <c r="M35" i="16"/>
  <c r="O35" i="16"/>
  <c r="R35" i="16"/>
  <c r="I35" i="16"/>
  <c r="B35" i="16"/>
  <c r="D35" i="16"/>
  <c r="F35" i="16"/>
  <c r="H35" i="16"/>
  <c r="J35" i="16"/>
  <c r="L35" i="16"/>
  <c r="N35" i="16"/>
  <c r="P35" i="16"/>
  <c r="Q35" i="16"/>
  <c r="S35" i="16"/>
  <c r="T35" i="16"/>
  <c r="U35" i="16"/>
  <c r="V35" i="16"/>
  <c r="C35" i="16"/>
  <c r="E35" i="16"/>
  <c r="G35" i="16"/>
  <c r="E34" i="16"/>
  <c r="K34" i="16"/>
  <c r="I34" i="16"/>
  <c r="Q34" i="16"/>
  <c r="B34" i="16"/>
  <c r="C34" i="16"/>
  <c r="G34" i="16"/>
  <c r="O34" i="16"/>
  <c r="M34" i="16"/>
  <c r="J34" i="16"/>
  <c r="H34" i="16"/>
  <c r="L34" i="16"/>
  <c r="N34" i="16"/>
  <c r="P34" i="16"/>
  <c r="F34" i="16"/>
  <c r="D34" i="16"/>
  <c r="R34" i="16"/>
  <c r="S34" i="16"/>
  <c r="T34" i="16"/>
  <c r="U34" i="16"/>
  <c r="V34" i="16"/>
  <c r="S33" i="16"/>
  <c r="T33" i="16"/>
  <c r="C33" i="16"/>
  <c r="E33" i="16"/>
  <c r="G33" i="16"/>
  <c r="I33" i="16"/>
  <c r="L33" i="16"/>
  <c r="O33" i="16"/>
  <c r="Q33" i="16"/>
  <c r="J33" i="16"/>
  <c r="R33" i="16"/>
  <c r="V33" i="16"/>
  <c r="U33" i="16"/>
  <c r="P33" i="16"/>
  <c r="N33" i="16"/>
  <c r="M33" i="16"/>
  <c r="K33" i="16"/>
  <c r="H33" i="16"/>
  <c r="F33" i="16"/>
  <c r="D33" i="16"/>
  <c r="B33" i="16"/>
  <c r="Q32" i="16"/>
  <c r="T32" i="16"/>
  <c r="U32" i="16"/>
  <c r="V32" i="16"/>
  <c r="J32" i="16"/>
  <c r="C32" i="16"/>
  <c r="H32" i="16"/>
  <c r="F32" i="16"/>
  <c r="S32" i="16"/>
  <c r="O32" i="16"/>
  <c r="L32" i="16"/>
  <c r="R32" i="16"/>
  <c r="P32" i="16"/>
  <c r="M32" i="16"/>
  <c r="N32" i="16"/>
  <c r="D32" i="16"/>
  <c r="B32" i="16"/>
  <c r="E32" i="16"/>
  <c r="G32" i="16"/>
  <c r="I32" i="16"/>
  <c r="K32" i="16"/>
  <c r="V31" i="16"/>
  <c r="B31" i="16"/>
  <c r="U31" i="16"/>
  <c r="T31" i="16"/>
  <c r="S31" i="16"/>
  <c r="Q31" i="16"/>
  <c r="O31" i="16"/>
  <c r="D31" i="16"/>
  <c r="F31" i="16"/>
  <c r="R31" i="16"/>
  <c r="P31" i="16"/>
  <c r="I31" i="16"/>
  <c r="L31" i="16"/>
  <c r="N31" i="16"/>
  <c r="J31" i="16"/>
  <c r="M31" i="16"/>
  <c r="K31" i="16"/>
  <c r="H31" i="16"/>
  <c r="G31" i="16"/>
  <c r="E31" i="16"/>
  <c r="C31" i="16"/>
  <c r="N30" i="16"/>
  <c r="L30" i="16"/>
  <c r="J30" i="16"/>
  <c r="H30" i="16"/>
  <c r="F30" i="16"/>
  <c r="D30" i="16"/>
  <c r="M30" i="16"/>
  <c r="O30" i="16"/>
  <c r="P30" i="16"/>
  <c r="R30" i="16"/>
  <c r="S30" i="16"/>
  <c r="T30" i="16"/>
  <c r="U30" i="16"/>
  <c r="V30" i="16"/>
  <c r="B30" i="16"/>
  <c r="C30" i="16"/>
  <c r="E30" i="16"/>
  <c r="G30" i="16"/>
  <c r="I30" i="16"/>
  <c r="K30" i="16"/>
  <c r="Q30" i="16"/>
  <c r="S29" i="16"/>
  <c r="F29" i="16"/>
  <c r="H29" i="16"/>
  <c r="U29" i="16"/>
  <c r="M29" i="16"/>
  <c r="B29" i="16"/>
  <c r="O29" i="16"/>
  <c r="J29" i="16"/>
  <c r="Q29" i="16"/>
  <c r="R29" i="16"/>
  <c r="T29" i="16"/>
  <c r="D29" i="16"/>
  <c r="P29" i="16"/>
  <c r="V29" i="16"/>
  <c r="N29" i="16"/>
  <c r="L29" i="16"/>
  <c r="K29" i="16"/>
  <c r="I29" i="16"/>
  <c r="C29" i="16"/>
  <c r="E29" i="16"/>
  <c r="G29" i="16"/>
  <c r="O28" i="16"/>
  <c r="G28" i="16"/>
  <c r="I28" i="16"/>
  <c r="K28" i="16"/>
  <c r="M28" i="16"/>
  <c r="Q28" i="16"/>
  <c r="T28" i="16"/>
  <c r="B28" i="16"/>
  <c r="D28" i="16"/>
  <c r="F28" i="16"/>
  <c r="H28" i="16"/>
  <c r="J28" i="16"/>
  <c r="L28" i="16"/>
  <c r="N28" i="16"/>
  <c r="P28" i="16"/>
  <c r="S28" i="16"/>
  <c r="U28" i="16"/>
  <c r="V28" i="16"/>
  <c r="R28" i="16"/>
  <c r="C28" i="16"/>
  <c r="E28" i="16"/>
  <c r="V27" i="16"/>
  <c r="D27" i="16"/>
  <c r="F27" i="16"/>
  <c r="C27" i="16"/>
  <c r="E27" i="16"/>
  <c r="G27" i="16"/>
  <c r="I27" i="16"/>
  <c r="K27" i="16"/>
  <c r="M27" i="16"/>
  <c r="O27" i="16"/>
  <c r="P27" i="16"/>
  <c r="R27" i="16"/>
  <c r="S27" i="16"/>
  <c r="H27" i="16"/>
  <c r="J27" i="16"/>
  <c r="L27" i="16"/>
  <c r="N27" i="16"/>
  <c r="Q27" i="16"/>
  <c r="T27" i="16"/>
  <c r="B27" i="16"/>
  <c r="U27" i="16"/>
  <c r="H26" i="16"/>
  <c r="F26" i="16"/>
  <c r="D26" i="16"/>
  <c r="B26" i="16"/>
  <c r="E26" i="16"/>
  <c r="I26" i="16"/>
  <c r="K26" i="16"/>
  <c r="M26" i="16"/>
  <c r="O26" i="16"/>
  <c r="Q26" i="16"/>
  <c r="P26" i="16"/>
  <c r="C26" i="16"/>
  <c r="G26" i="16"/>
  <c r="V26" i="16"/>
  <c r="U26" i="16"/>
  <c r="T26" i="16"/>
  <c r="R26" i="16"/>
  <c r="N26" i="16"/>
  <c r="L26" i="16"/>
  <c r="S26" i="16"/>
  <c r="J26" i="16"/>
  <c r="E25" i="16"/>
  <c r="C25" i="16"/>
  <c r="G25" i="16"/>
  <c r="I25" i="16"/>
  <c r="K25" i="16"/>
  <c r="M25" i="16"/>
  <c r="O25" i="16"/>
  <c r="R25" i="16"/>
  <c r="S25" i="16"/>
  <c r="T25" i="16"/>
  <c r="V25" i="16"/>
  <c r="Q25" i="16"/>
  <c r="P25" i="16"/>
  <c r="N25" i="16"/>
  <c r="L25" i="16"/>
  <c r="J25" i="16"/>
  <c r="H25" i="16"/>
  <c r="F25" i="16"/>
  <c r="D25" i="16"/>
  <c r="B25" i="16"/>
  <c r="U25" i="16"/>
  <c r="R24" i="16"/>
  <c r="P24" i="16"/>
  <c r="N24" i="16"/>
  <c r="L24" i="16"/>
  <c r="J24" i="16"/>
  <c r="H24" i="16"/>
  <c r="F24" i="16"/>
  <c r="D24" i="16"/>
  <c r="V24" i="16"/>
  <c r="E24" i="16"/>
  <c r="G24" i="16"/>
  <c r="I24" i="16"/>
  <c r="K24" i="16"/>
  <c r="M24" i="16"/>
  <c r="O24" i="16"/>
  <c r="Q24" i="16"/>
  <c r="S24" i="16"/>
  <c r="T24" i="16"/>
  <c r="U24" i="16"/>
  <c r="B24" i="16"/>
  <c r="C23" i="16"/>
  <c r="D23" i="16"/>
  <c r="E23" i="16"/>
  <c r="F23" i="16"/>
  <c r="G23" i="16"/>
  <c r="H23" i="16"/>
  <c r="I23" i="16"/>
  <c r="J23" i="16"/>
  <c r="K23" i="16"/>
  <c r="B23" i="16"/>
  <c r="L23" i="16"/>
  <c r="V23" i="16"/>
  <c r="U23" i="16"/>
  <c r="T23" i="16"/>
  <c r="S23" i="16"/>
  <c r="R23" i="16"/>
  <c r="Q23" i="16"/>
  <c r="P23" i="16"/>
  <c r="O23" i="16"/>
  <c r="N23" i="16"/>
  <c r="M23" i="16"/>
  <c r="L22" i="16"/>
  <c r="K22" i="16"/>
  <c r="J22" i="16"/>
  <c r="I22" i="16"/>
  <c r="H22" i="16"/>
  <c r="G22" i="16"/>
  <c r="F22" i="16"/>
  <c r="B22" i="16"/>
  <c r="C22" i="16"/>
  <c r="E22" i="16"/>
  <c r="D22" i="16"/>
  <c r="V22" i="16"/>
  <c r="U22" i="16"/>
  <c r="T22" i="16"/>
  <c r="S22" i="16"/>
  <c r="R22" i="16"/>
  <c r="Q22" i="16"/>
  <c r="P22" i="16"/>
  <c r="O22" i="16"/>
  <c r="N22" i="16"/>
  <c r="M22" i="16"/>
  <c r="L21" i="16"/>
  <c r="H21" i="16"/>
  <c r="J21" i="16"/>
  <c r="F21" i="16"/>
  <c r="D21" i="16"/>
  <c r="V21" i="16"/>
  <c r="C21" i="16"/>
  <c r="E21" i="16"/>
  <c r="G21" i="16"/>
  <c r="I21" i="16"/>
  <c r="K21" i="16"/>
  <c r="M21" i="16"/>
  <c r="O21" i="16"/>
  <c r="P21" i="16"/>
  <c r="R21" i="16"/>
  <c r="S21" i="16"/>
  <c r="T21" i="16"/>
  <c r="U21" i="16"/>
  <c r="Q21" i="16"/>
  <c r="B21" i="16"/>
  <c r="N21" i="16"/>
  <c r="N20" i="16"/>
  <c r="Q20" i="16"/>
  <c r="E20" i="16"/>
  <c r="G20" i="16"/>
  <c r="J20" i="16"/>
  <c r="O20" i="16"/>
  <c r="L20" i="16"/>
  <c r="P20" i="16"/>
  <c r="R20" i="16"/>
  <c r="S20" i="16"/>
  <c r="T20" i="16"/>
  <c r="C20" i="16"/>
  <c r="B20" i="16"/>
  <c r="D20" i="16"/>
  <c r="H20" i="16"/>
  <c r="F20" i="16"/>
  <c r="U20" i="16"/>
  <c r="I20" i="16"/>
  <c r="K20" i="16"/>
  <c r="M20" i="16"/>
  <c r="V20" i="16"/>
  <c r="T19" i="16"/>
  <c r="V19" i="16"/>
  <c r="R19" i="16"/>
  <c r="Q19" i="16"/>
  <c r="P19" i="16"/>
  <c r="O19" i="16"/>
  <c r="N19" i="16"/>
  <c r="M19" i="16"/>
  <c r="L19" i="16"/>
  <c r="K19" i="16"/>
  <c r="J19" i="16"/>
  <c r="I19" i="16"/>
  <c r="H19" i="16"/>
  <c r="G19" i="16"/>
  <c r="F19" i="16"/>
  <c r="U19" i="16"/>
  <c r="E19" i="16"/>
  <c r="D19" i="16"/>
  <c r="C19" i="16"/>
  <c r="B19" i="16"/>
  <c r="S19" i="16"/>
  <c r="V18" i="16"/>
  <c r="T18" i="16"/>
  <c r="S18" i="16"/>
  <c r="R18" i="16"/>
  <c r="Q18" i="16"/>
  <c r="P18" i="16"/>
  <c r="O18" i="16"/>
  <c r="N18" i="16"/>
  <c r="M18" i="16"/>
  <c r="L18" i="16"/>
  <c r="K18" i="16"/>
  <c r="J18" i="16"/>
  <c r="I18" i="16"/>
  <c r="H18" i="16"/>
  <c r="G18" i="16"/>
  <c r="F18" i="16"/>
  <c r="E18" i="16"/>
  <c r="D18" i="16"/>
  <c r="C18" i="16"/>
  <c r="B18" i="16"/>
  <c r="U18" i="16"/>
  <c r="V17" i="16"/>
  <c r="U17" i="16"/>
  <c r="T17" i="16"/>
  <c r="S17" i="16"/>
  <c r="Q17" i="16"/>
  <c r="P17" i="16"/>
  <c r="O17" i="16"/>
  <c r="N17" i="16"/>
  <c r="M17" i="16"/>
  <c r="L17" i="16"/>
  <c r="K17" i="16"/>
  <c r="J17" i="16"/>
  <c r="I17" i="16"/>
  <c r="H17" i="16"/>
  <c r="G17" i="16"/>
  <c r="F17" i="16"/>
  <c r="E17" i="16"/>
  <c r="D17" i="16"/>
  <c r="C17" i="16"/>
  <c r="B17" i="16"/>
  <c r="R17" i="16"/>
  <c r="P16" i="16"/>
  <c r="T16" i="16"/>
  <c r="S16" i="16"/>
  <c r="O16" i="16"/>
  <c r="N16" i="16"/>
  <c r="M16" i="16"/>
  <c r="L16" i="16"/>
  <c r="K16" i="16"/>
  <c r="J16" i="16"/>
  <c r="R16" i="16"/>
  <c r="I16" i="16"/>
  <c r="C16" i="16"/>
  <c r="H16" i="16"/>
  <c r="F16" i="16"/>
  <c r="E16" i="16"/>
  <c r="B16" i="16"/>
  <c r="D16" i="16"/>
  <c r="G16" i="16"/>
  <c r="Q16" i="16"/>
  <c r="U16" i="16"/>
  <c r="V16" i="16"/>
  <c r="C15" i="16"/>
  <c r="D15" i="16"/>
  <c r="E15" i="16"/>
  <c r="F15" i="16"/>
  <c r="G15" i="16"/>
  <c r="I15" i="16"/>
  <c r="J15" i="16"/>
  <c r="K15" i="16"/>
  <c r="L15" i="16"/>
  <c r="N15" i="16"/>
  <c r="O15" i="16"/>
  <c r="P15" i="16"/>
  <c r="Q15" i="16"/>
  <c r="R15" i="16"/>
  <c r="S15" i="16"/>
  <c r="U15" i="16"/>
  <c r="T15" i="16"/>
  <c r="V15" i="16"/>
  <c r="H15" i="16"/>
  <c r="B15" i="16"/>
  <c r="M15" i="16"/>
  <c r="O14" i="16"/>
  <c r="P14" i="16"/>
  <c r="J14" i="16"/>
  <c r="I14" i="16"/>
  <c r="K14" i="16"/>
  <c r="H14" i="16"/>
  <c r="F14" i="16"/>
  <c r="E14" i="16"/>
  <c r="D14" i="16"/>
  <c r="C14" i="16"/>
  <c r="B14" i="16"/>
  <c r="G14" i="16"/>
  <c r="V14" i="16"/>
  <c r="U14" i="16"/>
  <c r="L14" i="16"/>
  <c r="M14" i="16"/>
  <c r="Q14" i="16"/>
  <c r="T14" i="16"/>
  <c r="S14" i="16"/>
  <c r="R14" i="16"/>
  <c r="N14" i="16"/>
  <c r="G105" i="11"/>
  <c r="K105" i="11"/>
  <c r="L105" i="11" s="1"/>
  <c r="I105" i="11"/>
  <c r="H105" i="11"/>
  <c r="F105" i="11"/>
  <c r="E105" i="11"/>
  <c r="D105" i="11"/>
  <c r="B105" i="11"/>
  <c r="B104" i="11"/>
  <c r="C104" i="11"/>
  <c r="H104" i="11"/>
  <c r="D104" i="11"/>
  <c r="E104" i="11"/>
  <c r="G104" i="11"/>
  <c r="F104" i="11"/>
  <c r="M104" i="11"/>
  <c r="L104" i="11"/>
  <c r="K104" i="11"/>
  <c r="J104" i="11"/>
  <c r="I104" i="11"/>
  <c r="F103" i="11"/>
  <c r="E103" i="11"/>
  <c r="B103" i="11"/>
  <c r="D103" i="11"/>
  <c r="C103" i="11"/>
  <c r="I103" i="11"/>
  <c r="M103" i="11"/>
  <c r="L103" i="11"/>
  <c r="K103" i="11"/>
  <c r="J103" i="11"/>
  <c r="H103" i="11"/>
  <c r="G103" i="11"/>
  <c r="M102" i="11"/>
  <c r="K102" i="11"/>
  <c r="C102" i="11"/>
  <c r="B102" i="11"/>
  <c r="D102" i="11"/>
  <c r="E102" i="11"/>
  <c r="F102" i="11"/>
  <c r="G102" i="11"/>
  <c r="H102" i="11"/>
  <c r="I102" i="11"/>
  <c r="J102" i="11"/>
  <c r="L102" i="11"/>
  <c r="B101" i="11"/>
  <c r="J101" i="11"/>
  <c r="H101" i="11"/>
  <c r="I101" i="11"/>
  <c r="M101" i="11"/>
  <c r="L101" i="11"/>
  <c r="G101" i="11"/>
  <c r="K101" i="11"/>
  <c r="F101" i="11"/>
  <c r="E101" i="11"/>
  <c r="D101" i="11"/>
  <c r="C101" i="11"/>
  <c r="L100" i="11"/>
  <c r="M100" i="11"/>
  <c r="B100" i="11"/>
  <c r="C100" i="11"/>
  <c r="D100" i="11"/>
  <c r="E100" i="11"/>
  <c r="F100" i="11"/>
  <c r="G100" i="11"/>
  <c r="H100" i="11"/>
  <c r="I100" i="11"/>
  <c r="J100" i="11"/>
  <c r="K100" i="11"/>
  <c r="M99" i="11"/>
  <c r="E99" i="11"/>
  <c r="D99" i="11"/>
  <c r="C99" i="11"/>
  <c r="B99" i="11"/>
  <c r="L99" i="11"/>
  <c r="K99" i="11"/>
  <c r="J99" i="11"/>
  <c r="I99" i="11"/>
  <c r="H99" i="11"/>
  <c r="G99" i="11"/>
  <c r="F99" i="11"/>
  <c r="M98" i="11"/>
  <c r="L98" i="11"/>
  <c r="B98" i="11"/>
  <c r="G98" i="11"/>
  <c r="H98" i="11"/>
  <c r="I98" i="11"/>
  <c r="E98" i="11"/>
  <c r="D98" i="11"/>
  <c r="J98" i="11"/>
  <c r="C98" i="11"/>
  <c r="K98" i="11"/>
  <c r="F98" i="11"/>
  <c r="H97" i="11"/>
  <c r="G97" i="11"/>
  <c r="E97" i="11"/>
  <c r="D97" i="11"/>
  <c r="C97" i="11"/>
  <c r="M97" i="11"/>
  <c r="B97" i="11"/>
  <c r="F97" i="11"/>
  <c r="L97" i="11"/>
  <c r="K97" i="11"/>
  <c r="J97" i="11"/>
  <c r="I97" i="11"/>
  <c r="I96" i="11"/>
  <c r="H96" i="11"/>
  <c r="G96" i="11"/>
  <c r="F96" i="11"/>
  <c r="E96" i="11"/>
  <c r="C96" i="11"/>
  <c r="D96" i="11"/>
  <c r="J96" i="11"/>
  <c r="B96" i="11"/>
  <c r="K96" i="11"/>
  <c r="M96" i="11"/>
  <c r="L96" i="11"/>
  <c r="H95" i="11"/>
  <c r="I95" i="11"/>
  <c r="J95" i="11"/>
  <c r="D95" i="11"/>
  <c r="K95" i="11"/>
  <c r="L95" i="11"/>
  <c r="M95" i="11"/>
  <c r="G95" i="11"/>
  <c r="F95" i="11"/>
  <c r="E95" i="11"/>
  <c r="C95" i="11"/>
  <c r="B95" i="11"/>
  <c r="L94" i="11"/>
  <c r="M94" i="11"/>
  <c r="K94" i="11"/>
  <c r="J94" i="11"/>
  <c r="I94" i="11"/>
  <c r="H94" i="11"/>
  <c r="G94" i="11"/>
  <c r="F94" i="11"/>
  <c r="E94" i="11"/>
  <c r="D94" i="11"/>
  <c r="C94" i="11"/>
  <c r="B94" i="11"/>
  <c r="B93" i="11"/>
  <c r="C93" i="11"/>
  <c r="D93" i="11"/>
  <c r="E93" i="11"/>
  <c r="L93" i="11"/>
  <c r="F93" i="11"/>
  <c r="G93" i="11"/>
  <c r="H93" i="11"/>
  <c r="I93" i="11"/>
  <c r="J93" i="11"/>
  <c r="M93" i="11"/>
  <c r="K93" i="11"/>
  <c r="E92" i="11"/>
  <c r="J92" i="11"/>
  <c r="L92" i="11"/>
  <c r="K92" i="11"/>
  <c r="M92" i="11"/>
  <c r="B92" i="11"/>
  <c r="C92" i="11"/>
  <c r="D92" i="11"/>
  <c r="F92" i="11"/>
  <c r="G92" i="11"/>
  <c r="H92" i="11"/>
  <c r="I92" i="11"/>
  <c r="B91" i="11"/>
  <c r="H91" i="11"/>
  <c r="C91" i="11"/>
  <c r="D91" i="11"/>
  <c r="E91" i="11"/>
  <c r="F91" i="11"/>
  <c r="G91" i="11"/>
  <c r="I91" i="11"/>
  <c r="J91" i="11"/>
  <c r="K91" i="11"/>
  <c r="L91" i="11"/>
  <c r="M91" i="11"/>
  <c r="B90" i="11"/>
  <c r="C90" i="11"/>
  <c r="D90" i="11"/>
  <c r="E90" i="11"/>
  <c r="F90" i="11"/>
  <c r="G90" i="11"/>
  <c r="H90" i="11"/>
  <c r="I90" i="11"/>
  <c r="J90" i="11"/>
  <c r="K90" i="11"/>
  <c r="L90" i="11"/>
  <c r="M90" i="11"/>
  <c r="D89" i="11"/>
  <c r="C89" i="11"/>
  <c r="B89" i="11"/>
  <c r="M88" i="11"/>
  <c r="L88" i="11"/>
  <c r="K88" i="11"/>
  <c r="J88" i="11"/>
  <c r="I88" i="11"/>
  <c r="H88" i="11"/>
  <c r="G88" i="11"/>
  <c r="E88" i="11"/>
  <c r="D88" i="11"/>
  <c r="C88" i="11"/>
  <c r="F88" i="11"/>
  <c r="B88" i="11"/>
  <c r="D87" i="11"/>
  <c r="C87" i="11"/>
  <c r="B87" i="11"/>
  <c r="M87" i="11"/>
  <c r="L87" i="11"/>
  <c r="K87" i="11"/>
  <c r="J87" i="11"/>
  <c r="I87" i="11"/>
  <c r="H87" i="11"/>
  <c r="G87" i="11"/>
  <c r="F87" i="11"/>
  <c r="E87" i="11"/>
  <c r="K86" i="11"/>
  <c r="L86" i="11"/>
  <c r="M86" i="11"/>
  <c r="B86" i="11"/>
  <c r="C86" i="11"/>
  <c r="D86" i="11"/>
  <c r="E86" i="11"/>
  <c r="F86" i="11"/>
  <c r="G86" i="11"/>
  <c r="H86" i="11"/>
  <c r="I86" i="11"/>
  <c r="J86" i="11"/>
  <c r="E85" i="11"/>
  <c r="C85" i="11"/>
  <c r="J85" i="11"/>
  <c r="M85" i="11"/>
  <c r="L85" i="11"/>
  <c r="K85" i="11"/>
  <c r="I85" i="11"/>
  <c r="H85" i="11"/>
  <c r="G85" i="11"/>
  <c r="F85" i="11"/>
  <c r="B85" i="11"/>
  <c r="D85" i="11"/>
  <c r="B84" i="11"/>
  <c r="G84" i="11"/>
  <c r="M84" i="11"/>
  <c r="L84" i="11"/>
  <c r="J84" i="11"/>
  <c r="I84" i="11"/>
  <c r="H84" i="11"/>
  <c r="K84" i="11"/>
  <c r="F84" i="11"/>
  <c r="E84" i="11"/>
  <c r="D84" i="11"/>
  <c r="C84" i="11"/>
  <c r="C83" i="11"/>
  <c r="B83" i="11"/>
  <c r="L83" i="11"/>
  <c r="K83" i="11"/>
  <c r="J83" i="11"/>
  <c r="I83" i="11"/>
  <c r="M83" i="11"/>
  <c r="H83" i="11"/>
  <c r="G83" i="11"/>
  <c r="F83" i="11"/>
  <c r="E83" i="11"/>
  <c r="D83" i="11"/>
  <c r="D82" i="11"/>
  <c r="C82" i="11"/>
  <c r="M82" i="11"/>
  <c r="B82" i="11"/>
  <c r="L82" i="11"/>
  <c r="K82" i="11"/>
  <c r="J82" i="11"/>
  <c r="I82" i="11"/>
  <c r="H82" i="11"/>
  <c r="G82" i="11"/>
  <c r="F82" i="11"/>
  <c r="E82" i="11"/>
  <c r="C81" i="11"/>
  <c r="J81" i="11"/>
  <c r="I81" i="11"/>
  <c r="H81" i="11"/>
  <c r="D81" i="11"/>
  <c r="G81" i="11"/>
  <c r="F81" i="11"/>
  <c r="E81" i="11"/>
  <c r="M81" i="11"/>
  <c r="L81" i="11"/>
  <c r="K81" i="11"/>
  <c r="B81" i="11"/>
  <c r="M80" i="11"/>
  <c r="L80" i="11"/>
  <c r="K80" i="11"/>
  <c r="J80" i="11"/>
  <c r="I80" i="11"/>
  <c r="H80" i="11"/>
  <c r="G80" i="11"/>
  <c r="F80" i="11"/>
  <c r="E80" i="11"/>
  <c r="D80" i="11"/>
  <c r="C80" i="11"/>
  <c r="B80" i="11"/>
  <c r="C79" i="11"/>
  <c r="D79" i="11"/>
  <c r="H79" i="11"/>
  <c r="I79" i="11"/>
  <c r="G79" i="11"/>
  <c r="E79" i="11"/>
  <c r="F79" i="11"/>
  <c r="B79" i="11"/>
  <c r="M79" i="11"/>
  <c r="L79" i="11"/>
  <c r="K79" i="11"/>
  <c r="J79" i="11"/>
  <c r="E78" i="11"/>
  <c r="D78" i="11"/>
  <c r="C78" i="11"/>
  <c r="B78" i="11"/>
  <c r="F78" i="11"/>
  <c r="M78" i="11"/>
  <c r="L78" i="11"/>
  <c r="K78" i="11"/>
  <c r="J78" i="11"/>
  <c r="I78" i="11"/>
  <c r="H78" i="11"/>
  <c r="G78" i="11"/>
  <c r="M77" i="11"/>
  <c r="E77" i="11"/>
  <c r="B77" i="11"/>
  <c r="C77" i="11"/>
  <c r="F77" i="11"/>
  <c r="G77" i="11"/>
  <c r="H77" i="11"/>
  <c r="I77" i="11"/>
  <c r="J77" i="11"/>
  <c r="K77" i="11"/>
  <c r="L77" i="11"/>
  <c r="D77" i="11"/>
  <c r="M76" i="11"/>
  <c r="L76" i="11"/>
  <c r="K76" i="11"/>
  <c r="G76" i="11"/>
  <c r="H76" i="11"/>
  <c r="D76" i="11"/>
  <c r="I76" i="11"/>
  <c r="B76" i="11"/>
  <c r="C76" i="11"/>
  <c r="E76" i="11"/>
  <c r="F76" i="11"/>
  <c r="J76" i="11"/>
  <c r="D75" i="11"/>
  <c r="B75" i="11"/>
  <c r="C75" i="11"/>
  <c r="E75" i="11"/>
  <c r="F75" i="11"/>
  <c r="G75" i="11"/>
  <c r="H75" i="11"/>
  <c r="I75" i="11"/>
  <c r="J75" i="11"/>
  <c r="K75" i="11"/>
  <c r="L75" i="11"/>
  <c r="M75" i="11"/>
  <c r="K74" i="11"/>
  <c r="M74" i="11"/>
  <c r="J74" i="11"/>
  <c r="L74" i="11"/>
  <c r="F74" i="11"/>
  <c r="E74" i="11"/>
  <c r="D74" i="11"/>
  <c r="C74" i="11"/>
  <c r="B74" i="11"/>
  <c r="I74" i="11"/>
  <c r="H74" i="11"/>
  <c r="G74" i="11"/>
  <c r="H73" i="11"/>
  <c r="I73" i="11"/>
  <c r="J73" i="11"/>
  <c r="K73" i="11"/>
  <c r="L73" i="11"/>
  <c r="M73" i="11"/>
  <c r="B73" i="11"/>
  <c r="C73" i="11"/>
  <c r="D73" i="11"/>
  <c r="E73" i="11"/>
  <c r="F73" i="11"/>
  <c r="G73" i="11"/>
  <c r="G72" i="11"/>
  <c r="F72" i="11"/>
  <c r="E72" i="11"/>
  <c r="D72" i="11"/>
  <c r="C72" i="11"/>
  <c r="B72" i="11"/>
  <c r="H72" i="11"/>
  <c r="M72" i="11"/>
  <c r="L72" i="11"/>
  <c r="K72" i="11"/>
  <c r="J72" i="11"/>
  <c r="I72" i="11"/>
  <c r="M71" i="11"/>
  <c r="L71" i="11"/>
  <c r="K71" i="11"/>
  <c r="J71" i="11"/>
  <c r="H71" i="11"/>
  <c r="G71" i="11"/>
  <c r="F71" i="11"/>
  <c r="I71" i="11"/>
  <c r="E71" i="11"/>
  <c r="D71" i="11"/>
  <c r="C71" i="11"/>
  <c r="B71" i="11"/>
  <c r="I70" i="11"/>
  <c r="J70" i="11"/>
  <c r="K70" i="11"/>
  <c r="L70" i="11"/>
  <c r="M70" i="11"/>
  <c r="B70" i="11"/>
  <c r="C70" i="11"/>
  <c r="D70" i="11"/>
  <c r="E70" i="11"/>
  <c r="F70" i="11"/>
  <c r="G70" i="11"/>
  <c r="H70" i="11"/>
  <c r="J69" i="11"/>
  <c r="G69" i="11"/>
  <c r="F69" i="11"/>
  <c r="E69" i="11"/>
  <c r="D69" i="11"/>
  <c r="C69" i="11"/>
  <c r="B69" i="11"/>
  <c r="M69" i="11"/>
  <c r="L69" i="11"/>
  <c r="K69" i="11"/>
  <c r="I69" i="11"/>
  <c r="H69" i="11"/>
  <c r="L68" i="11"/>
  <c r="B68" i="11"/>
  <c r="C68" i="11"/>
  <c r="M68" i="11"/>
  <c r="K68" i="11"/>
  <c r="J68" i="11"/>
  <c r="I68" i="11"/>
  <c r="H68" i="11"/>
  <c r="G68" i="11"/>
  <c r="F68" i="11"/>
  <c r="E68" i="11"/>
  <c r="D68" i="11"/>
  <c r="C67" i="11"/>
  <c r="L67" i="11"/>
  <c r="K67" i="11"/>
  <c r="J67" i="11"/>
  <c r="I67" i="11"/>
  <c r="H67" i="11"/>
  <c r="G67" i="11"/>
  <c r="F67" i="11"/>
  <c r="E67" i="11"/>
  <c r="D67" i="11"/>
  <c r="B67" i="11"/>
  <c r="M67" i="11"/>
  <c r="K66" i="11"/>
  <c r="J66" i="11"/>
  <c r="I66" i="11"/>
  <c r="H66" i="11"/>
  <c r="M66" i="11"/>
  <c r="L66" i="11"/>
  <c r="B66" i="11"/>
  <c r="C66" i="11"/>
  <c r="D66" i="11"/>
  <c r="E66" i="11"/>
  <c r="F66" i="11"/>
  <c r="G66" i="11"/>
  <c r="G65" i="11"/>
  <c r="H65" i="11"/>
  <c r="I65" i="11"/>
  <c r="J65" i="11"/>
  <c r="K65" i="11"/>
  <c r="M65" i="11"/>
  <c r="F65" i="11"/>
  <c r="L65" i="11"/>
  <c r="B65" i="11"/>
  <c r="C65" i="11"/>
  <c r="D65" i="11"/>
  <c r="E65" i="11"/>
  <c r="M64" i="11"/>
  <c r="L64" i="11"/>
  <c r="K64" i="11"/>
  <c r="J64" i="11"/>
  <c r="I64" i="11"/>
  <c r="H64" i="11"/>
  <c r="G64" i="11"/>
  <c r="F64" i="11"/>
  <c r="E64" i="11"/>
  <c r="D64" i="11"/>
  <c r="C64" i="11"/>
  <c r="B64" i="11"/>
  <c r="M63" i="11"/>
  <c r="B63" i="11"/>
  <c r="L63" i="11"/>
  <c r="K63" i="11"/>
  <c r="J63" i="11"/>
  <c r="I63" i="11"/>
  <c r="H63" i="11"/>
  <c r="G63" i="11"/>
  <c r="F63" i="11"/>
  <c r="E63" i="11"/>
  <c r="D63" i="11"/>
  <c r="C63" i="11"/>
  <c r="B62" i="11"/>
  <c r="M62" i="11"/>
  <c r="L62" i="11"/>
  <c r="K62" i="11"/>
  <c r="J62" i="11"/>
  <c r="I62" i="11"/>
  <c r="H62" i="11"/>
  <c r="G62" i="11"/>
  <c r="F62" i="11"/>
  <c r="E62" i="11"/>
  <c r="D62" i="11"/>
  <c r="C62" i="11"/>
  <c r="B61" i="11"/>
  <c r="M61" i="11"/>
  <c r="L61" i="11"/>
  <c r="K61" i="11"/>
  <c r="J61" i="11"/>
  <c r="I61" i="11"/>
  <c r="H61" i="11"/>
  <c r="G61" i="11"/>
  <c r="F61" i="11"/>
  <c r="E61" i="11"/>
  <c r="D61" i="11"/>
  <c r="C61" i="11"/>
  <c r="F60" i="11"/>
  <c r="M60" i="11"/>
  <c r="L60" i="11"/>
  <c r="K60" i="11"/>
  <c r="G60" i="11"/>
  <c r="H60" i="11"/>
  <c r="I60" i="11"/>
  <c r="J60" i="11"/>
  <c r="B60" i="11"/>
  <c r="C60" i="11"/>
  <c r="D60" i="11"/>
  <c r="E60" i="11"/>
  <c r="H59" i="11"/>
  <c r="B59" i="11"/>
  <c r="M59" i="11"/>
  <c r="L59" i="11"/>
  <c r="K59" i="11"/>
  <c r="J59" i="11"/>
  <c r="I59" i="11"/>
  <c r="G59" i="11"/>
  <c r="F59" i="11"/>
  <c r="E59" i="11"/>
  <c r="D59" i="11"/>
  <c r="C59" i="11"/>
  <c r="K58" i="11"/>
  <c r="C58" i="11"/>
  <c r="J58" i="11"/>
  <c r="I58" i="11"/>
  <c r="H58" i="11"/>
  <c r="F58" i="11"/>
  <c r="E58" i="11"/>
  <c r="B58" i="11"/>
  <c r="D58" i="11"/>
  <c r="G58" i="11"/>
  <c r="M58" i="11"/>
  <c r="L58" i="11"/>
  <c r="D57" i="11"/>
  <c r="E57" i="11"/>
  <c r="F57" i="11"/>
  <c r="G57" i="11"/>
  <c r="H57" i="11"/>
  <c r="C57" i="11"/>
  <c r="K57" i="11"/>
  <c r="B57" i="11"/>
  <c r="M57" i="11"/>
  <c r="J57" i="11"/>
  <c r="L57" i="11"/>
  <c r="I57" i="11"/>
  <c r="M56" i="11"/>
  <c r="L56" i="11"/>
  <c r="K56" i="11"/>
  <c r="J56" i="11"/>
  <c r="I56" i="11"/>
  <c r="H56" i="11"/>
  <c r="G56" i="11"/>
  <c r="F56" i="11"/>
  <c r="E56" i="11"/>
  <c r="D56" i="11"/>
  <c r="C56" i="11"/>
  <c r="B56" i="11"/>
  <c r="M55" i="11"/>
  <c r="L55" i="11"/>
  <c r="K55" i="11"/>
  <c r="I55" i="11"/>
  <c r="H55" i="11"/>
  <c r="G55" i="11"/>
  <c r="J55" i="11"/>
  <c r="F55" i="11"/>
  <c r="C55" i="11"/>
  <c r="B55" i="11"/>
  <c r="D55" i="11"/>
  <c r="E55" i="11"/>
  <c r="I54" i="11"/>
  <c r="H54" i="11"/>
  <c r="G54" i="11"/>
  <c r="F54" i="11"/>
  <c r="C54" i="11"/>
  <c r="B54" i="11"/>
  <c r="D54" i="11"/>
  <c r="E54" i="11"/>
  <c r="K54" i="11"/>
  <c r="M54" i="11"/>
  <c r="L54" i="11"/>
  <c r="J54" i="11"/>
  <c r="K53" i="11"/>
  <c r="M53" i="11"/>
  <c r="L53" i="11"/>
  <c r="B53" i="11"/>
  <c r="C53" i="11"/>
  <c r="I53" i="11"/>
  <c r="H53" i="11"/>
  <c r="G53" i="11"/>
  <c r="F53" i="11"/>
  <c r="E53" i="11"/>
  <c r="D53" i="11"/>
  <c r="J53" i="11"/>
  <c r="D52" i="11"/>
  <c r="F52" i="11"/>
  <c r="G52" i="11"/>
  <c r="H52" i="11"/>
  <c r="I52" i="11"/>
  <c r="J52" i="11"/>
  <c r="E52" i="11"/>
  <c r="L52" i="11"/>
  <c r="K52" i="11"/>
  <c r="B52" i="11"/>
  <c r="C52" i="11"/>
  <c r="M52" i="11"/>
  <c r="L51" i="11"/>
  <c r="E51" i="11"/>
  <c r="F51" i="11"/>
  <c r="G51" i="11"/>
  <c r="K51" i="11"/>
  <c r="H51" i="11"/>
  <c r="I51" i="11"/>
  <c r="J51" i="11"/>
  <c r="M51" i="11"/>
  <c r="B51" i="11"/>
  <c r="C51" i="11"/>
  <c r="D51" i="11"/>
  <c r="G50" i="11"/>
  <c r="F50" i="11"/>
  <c r="E50" i="11"/>
  <c r="D50" i="11"/>
  <c r="C50" i="11"/>
  <c r="B50" i="11"/>
  <c r="I50" i="11"/>
  <c r="M50" i="11"/>
  <c r="L50" i="11"/>
  <c r="K50" i="11"/>
  <c r="J50" i="11"/>
  <c r="H50" i="11"/>
  <c r="F49" i="11"/>
  <c r="G49" i="11"/>
  <c r="H49" i="11"/>
  <c r="B49" i="11"/>
  <c r="I49" i="11"/>
  <c r="J49" i="11"/>
  <c r="E49" i="11"/>
  <c r="M49" i="11"/>
  <c r="K49" i="11"/>
  <c r="L49" i="11"/>
  <c r="C49" i="11"/>
  <c r="D49" i="11"/>
  <c r="I48" i="11"/>
  <c r="D48" i="11"/>
  <c r="E48" i="11"/>
  <c r="F48" i="11"/>
  <c r="G48" i="11"/>
  <c r="H48" i="11"/>
  <c r="J48" i="11"/>
  <c r="K48" i="11"/>
  <c r="L48" i="11"/>
  <c r="C48" i="11"/>
  <c r="M48" i="11"/>
  <c r="B48" i="11"/>
  <c r="D47" i="11"/>
  <c r="M47" i="11"/>
  <c r="L47" i="11"/>
  <c r="K47" i="11"/>
  <c r="J47" i="11"/>
  <c r="I47" i="11"/>
  <c r="G47" i="11"/>
  <c r="F47" i="11"/>
  <c r="E47" i="11"/>
  <c r="H47" i="11"/>
  <c r="C47" i="11"/>
  <c r="B47" i="11"/>
  <c r="F46" i="11"/>
  <c r="E46" i="11"/>
  <c r="B46" i="11"/>
  <c r="H46" i="11"/>
  <c r="I46" i="11"/>
  <c r="K46" i="11"/>
  <c r="L46" i="11"/>
  <c r="M46" i="11"/>
  <c r="G46" i="11"/>
  <c r="J46" i="11"/>
  <c r="D46" i="11"/>
  <c r="C46" i="11"/>
  <c r="M45" i="11"/>
  <c r="B45" i="11"/>
  <c r="C45" i="11"/>
  <c r="D45" i="11"/>
  <c r="E45" i="11"/>
  <c r="F45" i="11"/>
  <c r="G45" i="11"/>
  <c r="H45" i="11"/>
  <c r="I45" i="11"/>
  <c r="J45" i="11"/>
  <c r="K45" i="11"/>
  <c r="L45" i="11"/>
  <c r="I44" i="11"/>
  <c r="M44" i="11"/>
  <c r="L44" i="11"/>
  <c r="K44" i="11"/>
  <c r="J44" i="11"/>
  <c r="B44" i="11"/>
  <c r="F44" i="11"/>
  <c r="H44" i="11"/>
  <c r="G44" i="11"/>
  <c r="E44" i="11"/>
  <c r="C44" i="11"/>
  <c r="D44" i="11"/>
  <c r="C43" i="11"/>
  <c r="B43" i="11"/>
  <c r="M43" i="11"/>
  <c r="L43" i="11"/>
  <c r="K43" i="11"/>
  <c r="J43" i="11"/>
  <c r="D43" i="11"/>
  <c r="I43" i="11"/>
  <c r="H43" i="11"/>
  <c r="G43" i="11"/>
  <c r="F43" i="11"/>
  <c r="E43" i="11"/>
  <c r="H42" i="11"/>
  <c r="M42" i="11"/>
  <c r="K42" i="11"/>
  <c r="J42" i="11"/>
  <c r="I42" i="11"/>
  <c r="G42" i="11"/>
  <c r="F42" i="11"/>
  <c r="E42" i="11"/>
  <c r="L42" i="11"/>
  <c r="C42" i="11"/>
  <c r="B42" i="11"/>
  <c r="D42" i="11"/>
  <c r="C41" i="11"/>
  <c r="B41" i="11"/>
  <c r="G41" i="11"/>
  <c r="L41" i="11"/>
  <c r="K41" i="11"/>
  <c r="M41" i="11"/>
  <c r="I41" i="11"/>
  <c r="H41" i="11"/>
  <c r="F41" i="11"/>
  <c r="E41" i="11"/>
  <c r="D41" i="11"/>
  <c r="J41" i="11"/>
  <c r="G40" i="11"/>
  <c r="F40" i="11"/>
  <c r="E40" i="11"/>
  <c r="D40" i="11"/>
  <c r="B40" i="11"/>
  <c r="C40" i="11"/>
  <c r="M40" i="11"/>
  <c r="L40" i="11"/>
  <c r="K40" i="11"/>
  <c r="J40" i="11"/>
  <c r="I40" i="11"/>
  <c r="H40" i="11"/>
  <c r="D39" i="11"/>
  <c r="C39" i="11"/>
  <c r="B39" i="11"/>
  <c r="G39" i="11"/>
  <c r="E39" i="11"/>
  <c r="L39" i="11"/>
  <c r="M39" i="11"/>
  <c r="K39" i="11"/>
  <c r="J39" i="11"/>
  <c r="I39" i="11"/>
  <c r="H39" i="11"/>
  <c r="F39" i="11"/>
  <c r="I38" i="11"/>
  <c r="H38" i="11"/>
  <c r="G38" i="11"/>
  <c r="D38" i="11"/>
  <c r="K38" i="11"/>
  <c r="F38" i="11"/>
  <c r="B38" i="11"/>
  <c r="C38" i="11"/>
  <c r="M38" i="11"/>
  <c r="L38" i="11"/>
  <c r="J38" i="11"/>
  <c r="E38" i="11"/>
  <c r="B37" i="11"/>
  <c r="J37" i="11"/>
  <c r="H37" i="11"/>
  <c r="K37" i="11"/>
  <c r="F37" i="11"/>
  <c r="E37" i="11"/>
  <c r="D37" i="11"/>
  <c r="M37" i="11"/>
  <c r="L37" i="11"/>
  <c r="I37" i="11"/>
  <c r="G37" i="11"/>
  <c r="C37" i="11"/>
  <c r="F36" i="11"/>
  <c r="M36" i="11"/>
  <c r="L36" i="11"/>
  <c r="K36" i="11"/>
  <c r="B36" i="11"/>
  <c r="C36" i="11"/>
  <c r="D36" i="11"/>
  <c r="I36" i="11"/>
  <c r="E36" i="11"/>
  <c r="G36" i="11"/>
  <c r="H36" i="11"/>
  <c r="J36" i="11"/>
  <c r="M35" i="11"/>
  <c r="B35" i="11"/>
  <c r="C35" i="11"/>
  <c r="H35" i="11"/>
  <c r="D35" i="11"/>
  <c r="K35" i="11"/>
  <c r="E35" i="11"/>
  <c r="I35" i="11"/>
  <c r="J35" i="11"/>
  <c r="F35" i="11"/>
  <c r="G35" i="11"/>
  <c r="L35" i="11"/>
  <c r="M34" i="11"/>
  <c r="L34" i="11"/>
  <c r="I34" i="11"/>
  <c r="H34" i="11"/>
  <c r="K34" i="11"/>
  <c r="F34" i="11"/>
  <c r="E34" i="11"/>
  <c r="D34" i="11"/>
  <c r="C34" i="11"/>
  <c r="B34" i="11"/>
  <c r="J34" i="11"/>
  <c r="G34" i="11"/>
  <c r="L33" i="11"/>
  <c r="B33" i="11"/>
  <c r="C33" i="11"/>
  <c r="D33" i="11"/>
  <c r="E33" i="11"/>
  <c r="F33" i="11"/>
  <c r="G33" i="11"/>
  <c r="H33" i="11"/>
  <c r="J33" i="11"/>
  <c r="K33" i="11"/>
  <c r="M33" i="11"/>
  <c r="I33" i="11"/>
  <c r="J32" i="11"/>
  <c r="M32" i="11"/>
  <c r="H32" i="11"/>
  <c r="F32" i="11"/>
  <c r="G32" i="11"/>
  <c r="K32" i="11"/>
  <c r="I32" i="11"/>
  <c r="L32" i="11"/>
  <c r="E32" i="11"/>
  <c r="D32" i="11"/>
  <c r="C32" i="11"/>
  <c r="B32" i="11"/>
  <c r="G31" i="11"/>
  <c r="F31" i="11"/>
  <c r="E31" i="11"/>
  <c r="D31" i="11"/>
  <c r="C31" i="11"/>
  <c r="B31" i="11"/>
  <c r="M31" i="11"/>
  <c r="I31" i="11"/>
  <c r="L31" i="11"/>
  <c r="K31" i="11"/>
  <c r="J31" i="11"/>
  <c r="H31" i="11"/>
  <c r="G30" i="11"/>
  <c r="H30" i="11"/>
  <c r="I30" i="11"/>
  <c r="J30" i="11"/>
  <c r="K30" i="11"/>
  <c r="L30" i="11"/>
  <c r="M30" i="11"/>
  <c r="E30" i="11"/>
  <c r="D30" i="11"/>
  <c r="C30" i="11"/>
  <c r="B30" i="11"/>
  <c r="F30" i="11"/>
  <c r="J29" i="11"/>
  <c r="B29" i="11"/>
  <c r="C29" i="11"/>
  <c r="D29" i="11"/>
  <c r="E29" i="11"/>
  <c r="F29" i="11"/>
  <c r="G29" i="11"/>
  <c r="H29" i="11"/>
  <c r="I29" i="11"/>
  <c r="K29" i="11"/>
  <c r="L29" i="11"/>
  <c r="M29" i="11"/>
  <c r="H28" i="11"/>
  <c r="M28" i="11"/>
  <c r="L28" i="11"/>
  <c r="K28" i="11"/>
  <c r="E28" i="11"/>
  <c r="J28" i="11"/>
  <c r="I28" i="11"/>
  <c r="G28" i="11"/>
  <c r="F28" i="11"/>
  <c r="D28" i="11"/>
  <c r="C28" i="11"/>
  <c r="B28" i="11"/>
  <c r="L27" i="11"/>
  <c r="M27" i="11"/>
  <c r="F27" i="11"/>
  <c r="K27" i="11"/>
  <c r="J27" i="11"/>
  <c r="E27" i="11"/>
  <c r="D27" i="11"/>
  <c r="C27" i="11"/>
  <c r="B27" i="11"/>
  <c r="I27" i="11"/>
  <c r="H27" i="11"/>
  <c r="G27" i="11"/>
  <c r="H26" i="11"/>
  <c r="I26" i="11"/>
  <c r="J26" i="11"/>
  <c r="K26" i="11"/>
  <c r="L26" i="11"/>
  <c r="M26" i="11"/>
  <c r="G26" i="11"/>
  <c r="B26" i="11"/>
  <c r="C26" i="11"/>
  <c r="D26" i="11"/>
  <c r="E26" i="11"/>
  <c r="F26" i="11"/>
  <c r="G25" i="11"/>
  <c r="H25" i="11"/>
  <c r="C25" i="11"/>
  <c r="B25" i="11"/>
  <c r="J25" i="11"/>
  <c r="L25" i="11"/>
  <c r="M25" i="11"/>
  <c r="E25" i="11"/>
  <c r="F25" i="11"/>
  <c r="K25" i="11"/>
  <c r="D25" i="11"/>
  <c r="I25" i="11"/>
  <c r="B24" i="11"/>
  <c r="C24" i="11"/>
  <c r="D24" i="11"/>
  <c r="E24" i="11"/>
  <c r="F24" i="11"/>
  <c r="G24" i="11"/>
  <c r="I24" i="11"/>
  <c r="M24" i="11"/>
  <c r="L24" i="11"/>
  <c r="K24" i="11"/>
  <c r="J24" i="11"/>
  <c r="H24" i="11"/>
  <c r="E23" i="11"/>
  <c r="D23" i="11"/>
  <c r="C23" i="11"/>
  <c r="B23" i="11"/>
  <c r="H23" i="11"/>
  <c r="M23" i="11"/>
  <c r="L23" i="11"/>
  <c r="K23" i="11"/>
  <c r="J23" i="11"/>
  <c r="I23" i="11"/>
  <c r="G23" i="11"/>
  <c r="F23" i="11"/>
  <c r="G22" i="11"/>
  <c r="M22" i="11"/>
  <c r="L22" i="11"/>
  <c r="K22" i="11"/>
  <c r="J22" i="11"/>
  <c r="I22" i="11"/>
  <c r="H22" i="11"/>
  <c r="F22" i="11"/>
  <c r="E22" i="11"/>
  <c r="D22" i="11"/>
  <c r="B22" i="11"/>
  <c r="C22" i="11"/>
  <c r="E21" i="11"/>
  <c r="C21" i="11"/>
  <c r="M21" i="11"/>
  <c r="D21" i="11"/>
  <c r="F21" i="11"/>
  <c r="G21" i="11"/>
  <c r="H21" i="11"/>
  <c r="I21" i="11"/>
  <c r="J21" i="11"/>
  <c r="K21" i="11"/>
  <c r="L21" i="11"/>
  <c r="B21" i="11"/>
  <c r="I20" i="11"/>
  <c r="H20" i="11"/>
  <c r="J20" i="11"/>
  <c r="K20" i="11"/>
  <c r="L20" i="11"/>
  <c r="M20" i="11"/>
  <c r="G20" i="11"/>
  <c r="B20" i="11"/>
  <c r="C20" i="11"/>
  <c r="D20" i="11"/>
  <c r="E20" i="11"/>
  <c r="F20" i="11"/>
  <c r="B19" i="11"/>
  <c r="E19" i="11"/>
  <c r="I19" i="11"/>
  <c r="J19" i="11"/>
  <c r="K19" i="11"/>
  <c r="M19" i="11"/>
  <c r="C19" i="11"/>
  <c r="D19" i="11"/>
  <c r="F19" i="11"/>
  <c r="G19" i="11"/>
  <c r="H19" i="11"/>
  <c r="L19" i="11"/>
  <c r="B18" i="11"/>
  <c r="D18" i="11"/>
  <c r="E18" i="11"/>
  <c r="H18" i="11"/>
  <c r="G18" i="11"/>
  <c r="K18" i="11"/>
  <c r="L18" i="11"/>
  <c r="M18" i="11"/>
  <c r="I18" i="11"/>
  <c r="C18" i="11"/>
  <c r="F18" i="11"/>
  <c r="J18" i="11"/>
  <c r="C17" i="11"/>
  <c r="D17" i="11"/>
  <c r="E17" i="11"/>
  <c r="F17" i="11"/>
  <c r="G17" i="11"/>
  <c r="H17" i="11"/>
  <c r="J17" i="11"/>
  <c r="K17" i="11"/>
  <c r="L17" i="11"/>
  <c r="M17" i="11"/>
  <c r="I17" i="11"/>
  <c r="B17" i="11"/>
  <c r="M16" i="11"/>
  <c r="H16" i="11"/>
  <c r="L16" i="11"/>
  <c r="K16" i="11"/>
  <c r="J16" i="11"/>
  <c r="I16" i="11"/>
  <c r="G16" i="11"/>
  <c r="F16" i="11"/>
  <c r="E16" i="11"/>
  <c r="D16" i="11"/>
  <c r="C16" i="11"/>
  <c r="B16" i="11"/>
  <c r="L15" i="11"/>
  <c r="K15" i="11"/>
  <c r="J15" i="11"/>
  <c r="I15" i="11"/>
  <c r="H15" i="11"/>
  <c r="G15" i="11"/>
  <c r="F15" i="11"/>
  <c r="E15" i="11"/>
  <c r="B15" i="11"/>
  <c r="C15" i="11"/>
  <c r="D15" i="11"/>
  <c r="M15" i="11"/>
  <c r="I14" i="11"/>
  <c r="H14" i="11"/>
  <c r="G14" i="11"/>
  <c r="F14" i="11"/>
  <c r="E14" i="11"/>
  <c r="D14" i="11"/>
  <c r="C14" i="11"/>
  <c r="B14" i="11"/>
  <c r="J14" i="11"/>
  <c r="H13" i="11"/>
  <c r="G13" i="11"/>
  <c r="F13" i="11"/>
  <c r="E13" i="11"/>
  <c r="B13" i="11"/>
  <c r="D13" i="11"/>
  <c r="K13" i="11"/>
  <c r="G12" i="11"/>
  <c r="F12" i="11"/>
  <c r="E12" i="11"/>
  <c r="D12" i="11"/>
  <c r="B12" i="11"/>
  <c r="H12" i="11"/>
  <c r="K12" i="11"/>
  <c r="B11" i="11"/>
  <c r="D11" i="11"/>
  <c r="E11" i="11"/>
  <c r="F11" i="11"/>
  <c r="G11" i="11"/>
  <c r="K11" i="11"/>
  <c r="I11" i="11"/>
  <c r="H11" i="11"/>
  <c r="D10" i="11"/>
  <c r="B10" i="11"/>
  <c r="K10" i="11"/>
  <c r="H10" i="11"/>
  <c r="G10" i="11"/>
  <c r="F10" i="11"/>
  <c r="E10" i="11"/>
  <c r="E9" i="11"/>
  <c r="D9" i="11"/>
  <c r="B9" i="11"/>
  <c r="K9" i="11"/>
  <c r="H9" i="11"/>
  <c r="G9" i="11"/>
  <c r="F9" i="11"/>
  <c r="B8" i="11"/>
  <c r="E8" i="11"/>
  <c r="D8" i="11"/>
  <c r="K8" i="11"/>
  <c r="I8" i="11"/>
  <c r="H8" i="11"/>
  <c r="G8" i="11"/>
  <c r="F8" i="11"/>
  <c r="H7" i="11"/>
  <c r="G7" i="11"/>
  <c r="F7" i="11"/>
  <c r="E7" i="11"/>
  <c r="K7" i="11"/>
  <c r="D7" i="11"/>
  <c r="B7" i="11"/>
  <c r="B6" i="11"/>
  <c r="D6" i="11"/>
  <c r="K6" i="11"/>
  <c r="H6" i="11"/>
  <c r="G6" i="11"/>
  <c r="F6" i="11"/>
  <c r="E6" i="11"/>
  <c r="V11" i="9"/>
  <c r="U11" i="9"/>
  <c r="U10" i="9"/>
  <c r="V10" i="9"/>
  <c r="U9" i="9"/>
  <c r="V9" i="9"/>
  <c r="V8" i="9"/>
  <c r="U8" i="9"/>
  <c r="V7" i="9"/>
  <c r="U7" i="9"/>
  <c r="V6" i="9"/>
  <c r="U6" i="9"/>
  <c r="O105" i="8"/>
  <c r="N105" i="8"/>
  <c r="O104" i="8"/>
  <c r="N104" i="8"/>
  <c r="N103" i="8"/>
  <c r="O103" i="8"/>
  <c r="O102" i="8"/>
  <c r="N102" i="8"/>
  <c r="O101" i="8"/>
  <c r="N101" i="8"/>
  <c r="O100" i="8"/>
  <c r="N100" i="8"/>
  <c r="N99" i="8"/>
  <c r="O99" i="8"/>
  <c r="N98" i="8"/>
  <c r="O98" i="8"/>
  <c r="O97" i="8"/>
  <c r="N97" i="8"/>
  <c r="N96" i="8"/>
  <c r="O96" i="8"/>
  <c r="N95" i="8"/>
  <c r="O95" i="8"/>
  <c r="O94" i="8"/>
  <c r="N94" i="8"/>
  <c r="N93" i="8"/>
  <c r="O93" i="8"/>
  <c r="N92" i="8"/>
  <c r="O92" i="8"/>
  <c r="N91" i="8"/>
  <c r="O91" i="8"/>
  <c r="N90" i="8"/>
  <c r="O90" i="8"/>
  <c r="N89" i="8"/>
  <c r="O89" i="8"/>
  <c r="O88" i="8"/>
  <c r="N88" i="8"/>
  <c r="N87" i="8"/>
  <c r="O87" i="8"/>
  <c r="N86" i="8"/>
  <c r="O86" i="8"/>
  <c r="O85" i="8"/>
  <c r="N85" i="8"/>
  <c r="O84" i="8"/>
  <c r="N84" i="8"/>
  <c r="O83" i="8"/>
  <c r="N83" i="8"/>
  <c r="O82" i="8"/>
  <c r="N82" i="8"/>
  <c r="O81" i="8"/>
  <c r="N81" i="8"/>
  <c r="O80" i="8"/>
  <c r="N80" i="8"/>
  <c r="N79" i="8"/>
  <c r="O79" i="8"/>
  <c r="O78" i="8"/>
  <c r="N78" i="8"/>
  <c r="O77" i="8"/>
  <c r="N77" i="8"/>
  <c r="O76" i="8"/>
  <c r="N76" i="8"/>
  <c r="O75" i="8"/>
  <c r="N75" i="8"/>
  <c r="O74" i="8"/>
  <c r="N74" i="8"/>
  <c r="N73" i="8"/>
  <c r="O73" i="8"/>
  <c r="N72" i="8"/>
  <c r="O72" i="8"/>
  <c r="O71" i="8"/>
  <c r="N71" i="8"/>
  <c r="N70" i="8"/>
  <c r="O70" i="8"/>
  <c r="O69" i="8"/>
  <c r="N69" i="8"/>
  <c r="O68" i="8"/>
  <c r="N68" i="8"/>
  <c r="N67" i="8"/>
  <c r="O67" i="8"/>
  <c r="N66" i="8"/>
  <c r="O66" i="8"/>
  <c r="N65" i="8"/>
  <c r="O65" i="8"/>
  <c r="N64" i="8"/>
  <c r="O64" i="8"/>
  <c r="N63" i="8"/>
  <c r="O63" i="8"/>
  <c r="N62" i="8"/>
  <c r="O62" i="8"/>
  <c r="N61" i="8"/>
  <c r="O61" i="8"/>
  <c r="N60" i="8"/>
  <c r="O60" i="8"/>
  <c r="N59" i="8"/>
  <c r="O59" i="8"/>
  <c r="O58" i="8"/>
  <c r="N58" i="8"/>
  <c r="O57" i="8"/>
  <c r="N57" i="8"/>
  <c r="N56" i="8"/>
  <c r="O56" i="8"/>
  <c r="O55" i="8"/>
  <c r="N55" i="8"/>
  <c r="O54" i="8"/>
  <c r="N54" i="8"/>
  <c r="O53" i="8"/>
  <c r="N53" i="8"/>
  <c r="N51" i="8"/>
  <c r="O51" i="8"/>
  <c r="N50" i="8"/>
  <c r="O50" i="8"/>
  <c r="N49" i="8"/>
  <c r="O49" i="8"/>
  <c r="N48" i="8"/>
  <c r="O48" i="8"/>
  <c r="N47" i="8"/>
  <c r="O47" i="8"/>
  <c r="O46" i="8"/>
  <c r="N46" i="8"/>
  <c r="O45" i="8"/>
  <c r="N45" i="8"/>
  <c r="O44" i="8"/>
  <c r="N44" i="8"/>
  <c r="O43" i="8"/>
  <c r="N43" i="8"/>
  <c r="O42" i="8"/>
  <c r="N42" i="8"/>
  <c r="O41" i="8"/>
  <c r="N41" i="8"/>
  <c r="O40" i="8"/>
  <c r="N40" i="8"/>
  <c r="O39" i="8"/>
  <c r="N39" i="8"/>
  <c r="N38" i="8"/>
  <c r="O38" i="8"/>
  <c r="O37" i="8"/>
  <c r="N37" i="8"/>
  <c r="O36" i="8"/>
  <c r="N36" i="8"/>
  <c r="O35" i="8"/>
  <c r="N35" i="8"/>
  <c r="N34" i="8"/>
  <c r="O34" i="8"/>
  <c r="O33" i="8"/>
  <c r="N33" i="8"/>
  <c r="N32" i="8"/>
  <c r="O32" i="8"/>
  <c r="N31" i="8"/>
  <c r="O31" i="8"/>
  <c r="O30" i="8"/>
  <c r="N30" i="8"/>
  <c r="N29" i="8"/>
  <c r="O29" i="8"/>
  <c r="N28" i="8"/>
  <c r="O28" i="8"/>
  <c r="N27" i="8"/>
  <c r="O27" i="8"/>
  <c r="N26" i="8"/>
  <c r="O26" i="8"/>
  <c r="O25" i="8"/>
  <c r="N25" i="8"/>
  <c r="N24" i="8"/>
  <c r="O24" i="8"/>
  <c r="N23" i="8"/>
  <c r="O23" i="8"/>
  <c r="N22" i="8"/>
  <c r="O22" i="8"/>
  <c r="N21" i="8"/>
  <c r="O21" i="8"/>
  <c r="N20" i="8"/>
  <c r="O20" i="8"/>
  <c r="N19" i="8"/>
  <c r="O19" i="8"/>
  <c r="N18" i="8"/>
  <c r="O18" i="8"/>
  <c r="N17" i="8"/>
  <c r="O17" i="8"/>
  <c r="N16" i="8"/>
  <c r="O16" i="8"/>
  <c r="N15" i="8"/>
  <c r="O15" i="8"/>
  <c r="O14" i="8"/>
  <c r="N14" i="8"/>
  <c r="O13" i="8"/>
  <c r="N13" i="8"/>
  <c r="N12" i="8"/>
  <c r="O12" i="8"/>
  <c r="O11" i="8"/>
  <c r="N11" i="8"/>
  <c r="O10" i="8"/>
  <c r="N10" i="8"/>
  <c r="AB104" i="5"/>
  <c r="AD104" i="5"/>
  <c r="AB103" i="5"/>
  <c r="AD103" i="5"/>
  <c r="AD102" i="5"/>
  <c r="AB102" i="5"/>
  <c r="AD101" i="5"/>
  <c r="AB101" i="5"/>
  <c r="AB100" i="5"/>
  <c r="AD100" i="5"/>
  <c r="AD99" i="5"/>
  <c r="AB99" i="5"/>
  <c r="AB98" i="5"/>
  <c r="AD98" i="5"/>
  <c r="AD97" i="5"/>
  <c r="AB97" i="5"/>
  <c r="AB96" i="5"/>
  <c r="AD96" i="5"/>
  <c r="AB95" i="5"/>
  <c r="AD95" i="5"/>
  <c r="AB94" i="5"/>
  <c r="AD94" i="5"/>
  <c r="AB93" i="5"/>
  <c r="AD93" i="5"/>
  <c r="AB92" i="5"/>
  <c r="AD92" i="5"/>
  <c r="AD91" i="5"/>
  <c r="AB91" i="5"/>
  <c r="AB90" i="5"/>
  <c r="AD90" i="5"/>
  <c r="AB89" i="5"/>
  <c r="AD89" i="5"/>
  <c r="AB88" i="5"/>
  <c r="AD88" i="5"/>
  <c r="AD87" i="5"/>
  <c r="AB87" i="5"/>
  <c r="AB86" i="5"/>
  <c r="AD86" i="5"/>
  <c r="AD85" i="5"/>
  <c r="AB85" i="5"/>
  <c r="AB84" i="5"/>
  <c r="AD84" i="5"/>
  <c r="AB83" i="5"/>
  <c r="AD83" i="5"/>
  <c r="AB82" i="5"/>
  <c r="AD82" i="5"/>
  <c r="AD81" i="5"/>
  <c r="AB81" i="5"/>
  <c r="AD80" i="5"/>
  <c r="AB80" i="5"/>
  <c r="AB79" i="5"/>
  <c r="AD79" i="5"/>
  <c r="AB78" i="5"/>
  <c r="AD78" i="5"/>
  <c r="AB77" i="5"/>
  <c r="AD77" i="5"/>
  <c r="AD76" i="5"/>
  <c r="AB76" i="5"/>
  <c r="AB75" i="5"/>
  <c r="AD75" i="5"/>
  <c r="AB74" i="5"/>
  <c r="AD74" i="5"/>
  <c r="AB73" i="5"/>
  <c r="AD73" i="5"/>
  <c r="AB72" i="5"/>
  <c r="AD72" i="5"/>
  <c r="AB71" i="5"/>
  <c r="AD71" i="5"/>
  <c r="AB70" i="5"/>
  <c r="AD70" i="5"/>
  <c r="AD69" i="5"/>
  <c r="AB69" i="5"/>
  <c r="AB68" i="5"/>
  <c r="AD68" i="5"/>
  <c r="AD67" i="5"/>
  <c r="AB67" i="5"/>
  <c r="AD66" i="5"/>
  <c r="AB66" i="5"/>
  <c r="AD65" i="5"/>
  <c r="AB65" i="5"/>
  <c r="AB64" i="5"/>
  <c r="AD64" i="5"/>
  <c r="AD63" i="5"/>
  <c r="AB63" i="5"/>
  <c r="AB62" i="5"/>
  <c r="AD62" i="5"/>
  <c r="AD61" i="5"/>
  <c r="AB61" i="5"/>
  <c r="AD60" i="5"/>
  <c r="AB60" i="5"/>
  <c r="AB59" i="5"/>
  <c r="AD59" i="5"/>
  <c r="AB58" i="5"/>
  <c r="AD58" i="5"/>
  <c r="AB57" i="5"/>
  <c r="AD57" i="5"/>
  <c r="AB56" i="5"/>
  <c r="AD56" i="5"/>
  <c r="AD55" i="5"/>
  <c r="AB55" i="5"/>
  <c r="AD54" i="5"/>
  <c r="AB54" i="5"/>
  <c r="AB53" i="5"/>
  <c r="AD53" i="5"/>
  <c r="AD52" i="5"/>
  <c r="AB52" i="5"/>
  <c r="AB51" i="5"/>
  <c r="AD51" i="5"/>
  <c r="AD50" i="5"/>
  <c r="AB50" i="5"/>
  <c r="AD49" i="5"/>
  <c r="AB49" i="5"/>
  <c r="AD48" i="5"/>
  <c r="AB48" i="5"/>
  <c r="AD47" i="5"/>
  <c r="AB47" i="5"/>
  <c r="AB46" i="5"/>
  <c r="AD46" i="5"/>
  <c r="AB45" i="5"/>
  <c r="AD45" i="5"/>
  <c r="AB44" i="5"/>
  <c r="AD44" i="5"/>
  <c r="AD43" i="5"/>
  <c r="AB43" i="5"/>
  <c r="AD42" i="5"/>
  <c r="AB42" i="5"/>
  <c r="AD41" i="5"/>
  <c r="AB41" i="5"/>
  <c r="AB40" i="5"/>
  <c r="AD40" i="5"/>
  <c r="AD39" i="5"/>
  <c r="AB39" i="5"/>
  <c r="AB38" i="5"/>
  <c r="AD38" i="5"/>
  <c r="AB37" i="5"/>
  <c r="AD37" i="5"/>
  <c r="AD36" i="5"/>
  <c r="AB36" i="5"/>
  <c r="AD35" i="5"/>
  <c r="AB35" i="5"/>
  <c r="AB34" i="5"/>
  <c r="AD34" i="5"/>
  <c r="AD33" i="5"/>
  <c r="AB33" i="5"/>
  <c r="AB32" i="5"/>
  <c r="AD32" i="5"/>
  <c r="AB31" i="5"/>
  <c r="AD31" i="5"/>
  <c r="AD30" i="5"/>
  <c r="AB30" i="5"/>
  <c r="AB29" i="5"/>
  <c r="AD29" i="5"/>
  <c r="AB28" i="5"/>
  <c r="AD28" i="5"/>
  <c r="AB27" i="5"/>
  <c r="AD27" i="5"/>
  <c r="AB26" i="5"/>
  <c r="AD26" i="5"/>
  <c r="AD25" i="5"/>
  <c r="AB25" i="5"/>
  <c r="AB24" i="5"/>
  <c r="AD24" i="5"/>
  <c r="AD23" i="5"/>
  <c r="AB23" i="5"/>
  <c r="AD22" i="5"/>
  <c r="AB22" i="5"/>
  <c r="AD21" i="5"/>
  <c r="AB21" i="5"/>
  <c r="AD20" i="5"/>
  <c r="AB20" i="5"/>
  <c r="AD19" i="5"/>
  <c r="AB19" i="5"/>
  <c r="AB18" i="5"/>
  <c r="AD18" i="5"/>
  <c r="AB17" i="5"/>
  <c r="AD17" i="5"/>
  <c r="AB16" i="5"/>
  <c r="AD16" i="5"/>
  <c r="AD15" i="5"/>
  <c r="AB15" i="5"/>
  <c r="AD14" i="5"/>
  <c r="AB14" i="5"/>
  <c r="AA12" i="5"/>
  <c r="I11" i="4"/>
  <c r="I8" i="4"/>
  <c r="AA10" i="5"/>
  <c r="AA9" i="5"/>
  <c r="AA8" i="5"/>
  <c r="I12" i="4"/>
  <c r="I9" i="4"/>
  <c r="I6" i="4"/>
  <c r="L6" i="7"/>
  <c r="B27" i="2"/>
  <c r="AA13" i="5"/>
  <c r="Q7" i="8"/>
  <c r="L8" i="7"/>
  <c r="L9" i="7"/>
  <c r="P7" i="8"/>
  <c r="W6" i="9"/>
  <c r="W7" i="9"/>
  <c r="W8" i="9"/>
  <c r="W9" i="9"/>
  <c r="W10" i="9"/>
  <c r="W11" i="9"/>
  <c r="A7" i="16"/>
  <c r="K7" i="7"/>
  <c r="Q6" i="8"/>
  <c r="K6" i="7"/>
  <c r="K9" i="7"/>
  <c r="A8" i="16"/>
  <c r="A9" i="16"/>
  <c r="A10" i="16"/>
  <c r="A11" i="16"/>
  <c r="A12" i="16"/>
  <c r="A13" i="16"/>
  <c r="A6" i="16"/>
  <c r="T10" i="12"/>
  <c r="T9" i="12"/>
  <c r="AA11" i="5"/>
  <c r="T8" i="12"/>
  <c r="T7" i="12"/>
  <c r="T6" i="12"/>
  <c r="AA6" i="5"/>
  <c r="I10" i="4"/>
  <c r="I13" i="4"/>
  <c r="AA7" i="5"/>
  <c r="L7" i="7"/>
  <c r="P6" i="8"/>
  <c r="I14" i="4"/>
  <c r="K8" i="7"/>
  <c r="D42" i="2"/>
  <c r="B42" i="2"/>
  <c r="D41" i="2"/>
  <c r="E41" i="2"/>
  <c r="F41" i="2"/>
  <c r="C41" i="2"/>
  <c r="B41" i="2"/>
  <c r="C40" i="2"/>
  <c r="B40" i="2"/>
  <c r="F40" i="2"/>
  <c r="E40" i="2"/>
  <c r="D40" i="2"/>
  <c r="B39" i="2"/>
  <c r="D39" i="2"/>
  <c r="B38" i="2"/>
  <c r="D38" i="2"/>
  <c r="D37" i="2"/>
  <c r="B37" i="2"/>
  <c r="D36" i="2"/>
  <c r="B36" i="2"/>
  <c r="D35" i="2"/>
  <c r="B35" i="2"/>
  <c r="B34" i="2"/>
  <c r="D34" i="2"/>
  <c r="B33" i="2"/>
  <c r="D33" i="2"/>
  <c r="C32" i="2"/>
  <c r="F32" i="2"/>
  <c r="D32" i="2"/>
  <c r="B32" i="2"/>
  <c r="E32" i="2"/>
  <c r="B31" i="2"/>
  <c r="D31" i="2"/>
  <c r="O66" i="5" l="1"/>
  <c r="O70" i="5"/>
  <c r="K57" i="13"/>
  <c r="N57" i="13"/>
  <c r="O51" i="5"/>
  <c r="E133" i="18"/>
  <c r="O65" i="5"/>
  <c r="O42" i="5"/>
  <c r="O46" i="5"/>
  <c r="O81" i="5"/>
  <c r="O50" i="5"/>
  <c r="O59" i="5"/>
  <c r="O43" i="5"/>
  <c r="T105" i="16"/>
  <c r="C105" i="16"/>
  <c r="U105" i="16"/>
  <c r="B105" i="16"/>
  <c r="R105" i="16"/>
  <c r="P105" i="16"/>
  <c r="G105" i="16"/>
  <c r="F105" i="16"/>
  <c r="E105" i="16"/>
  <c r="D105" i="16"/>
  <c r="O72" i="5"/>
  <c r="O69" i="5"/>
  <c r="O52" i="5"/>
  <c r="O105" i="5"/>
  <c r="C31" i="2" s="1"/>
  <c r="O33" i="5"/>
  <c r="O23" i="5"/>
  <c r="O104" i="5"/>
  <c r="O93" i="5"/>
  <c r="O73" i="5"/>
  <c r="O22" i="5"/>
  <c r="O78" i="5"/>
  <c r="O55" i="5"/>
  <c r="O39" i="5"/>
  <c r="O79" i="5"/>
  <c r="O19" i="5"/>
  <c r="E88" i="18"/>
  <c r="O103" i="5"/>
  <c r="O95" i="5"/>
  <c r="O99" i="5"/>
  <c r="O87" i="5"/>
  <c r="O54" i="5"/>
  <c r="O31" i="5"/>
  <c r="O30" i="5"/>
  <c r="O29" i="5"/>
  <c r="O16" i="5"/>
  <c r="O14" i="5"/>
  <c r="O98" i="5"/>
  <c r="O92" i="5"/>
  <c r="O89" i="5"/>
  <c r="O84" i="5"/>
  <c r="O83" i="5"/>
  <c r="O82" i="5"/>
  <c r="O77" i="5"/>
  <c r="O76" i="5"/>
  <c r="O75" i="5"/>
  <c r="O71" i="5"/>
  <c r="O61" i="5"/>
  <c r="O48" i="5"/>
  <c r="O47" i="5"/>
  <c r="O41" i="5"/>
  <c r="O36" i="5"/>
  <c r="O35" i="5"/>
  <c r="O34" i="5"/>
  <c r="O32" i="5"/>
  <c r="O25" i="5"/>
  <c r="O21" i="5"/>
  <c r="O101" i="5"/>
  <c r="O100" i="5"/>
  <c r="O97" i="5"/>
  <c r="O96" i="5"/>
  <c r="O88" i="5"/>
  <c r="O86" i="5"/>
  <c r="O85" i="5"/>
  <c r="O68" i="5"/>
  <c r="O64" i="5"/>
  <c r="O63" i="5"/>
  <c r="O60" i="5"/>
  <c r="O58" i="5"/>
  <c r="O57" i="5"/>
  <c r="O49" i="5"/>
  <c r="O44" i="5"/>
  <c r="O40" i="5"/>
  <c r="O24" i="5"/>
  <c r="O20" i="5"/>
  <c r="O17" i="5"/>
  <c r="N12" i="13"/>
  <c r="K12" i="13"/>
  <c r="G13" i="15"/>
  <c r="O11" i="13"/>
  <c r="G7" i="15"/>
  <c r="O10" i="13"/>
  <c r="N9" i="13"/>
  <c r="K9" i="13"/>
  <c r="N8" i="13"/>
  <c r="K8" i="13"/>
  <c r="G205" i="15" s="1"/>
  <c r="M12" i="5"/>
  <c r="N12" i="5"/>
  <c r="M11" i="5"/>
  <c r="N11" i="5"/>
  <c r="M10" i="5"/>
  <c r="N10" i="5"/>
  <c r="M9" i="5"/>
  <c r="N9" i="5"/>
  <c r="M8" i="5"/>
  <c r="N8" i="5"/>
  <c r="M7" i="5"/>
  <c r="N7" i="5"/>
  <c r="M6" i="5"/>
  <c r="N6" i="5"/>
  <c r="E69" i="18"/>
  <c r="P38" i="5"/>
  <c r="R38" i="5"/>
  <c r="I6" i="11"/>
  <c r="M6" i="11" s="1"/>
  <c r="R53" i="5"/>
  <c r="P53" i="5"/>
  <c r="E44" i="18"/>
  <c r="E113" i="18"/>
  <c r="B21" i="21"/>
  <c r="E75" i="18"/>
  <c r="E57" i="18"/>
  <c r="B21" i="2"/>
  <c r="E111" i="18"/>
  <c r="E84" i="18"/>
  <c r="E61" i="18"/>
  <c r="E60" i="18"/>
  <c r="T105" i="5"/>
  <c r="M105" i="16" s="1"/>
  <c r="S105" i="5"/>
  <c r="L105" i="16" s="1"/>
  <c r="J135" i="18"/>
  <c r="O135" i="18"/>
  <c r="M105" i="11"/>
  <c r="J105" i="11"/>
  <c r="Q105" i="16" s="1"/>
  <c r="E115" i="18"/>
  <c r="E109" i="18"/>
  <c r="E108" i="18"/>
  <c r="P62" i="5"/>
  <c r="R62" i="5"/>
  <c r="E81" i="18"/>
  <c r="R102" i="5"/>
  <c r="P102" i="5"/>
  <c r="R91" i="5"/>
  <c r="P91" i="5"/>
  <c r="E79" i="18"/>
  <c r="E106" i="18"/>
  <c r="R56" i="5"/>
  <c r="P56" i="5"/>
  <c r="E83" i="18"/>
  <c r="E46" i="18"/>
  <c r="E86" i="18"/>
  <c r="E92" i="18"/>
  <c r="E64" i="18"/>
  <c r="E90" i="18"/>
  <c r="E105" i="18"/>
  <c r="P45" i="5"/>
  <c r="R45" i="5"/>
  <c r="E77" i="18"/>
  <c r="E76" i="18"/>
  <c r="R74" i="5"/>
  <c r="P74" i="5"/>
  <c r="R26" i="5"/>
  <c r="P26" i="5"/>
  <c r="P27" i="5"/>
  <c r="R27" i="5"/>
  <c r="P90" i="5"/>
  <c r="R90" i="5"/>
  <c r="E135" i="18"/>
  <c r="P18" i="5"/>
  <c r="R18" i="5"/>
  <c r="R94" i="5"/>
  <c r="P94" i="5"/>
  <c r="R15" i="5"/>
  <c r="P15" i="5"/>
  <c r="E41" i="18"/>
  <c r="J41" i="18" s="1"/>
  <c r="E117" i="18"/>
  <c r="I13" i="11"/>
  <c r="M13" i="11" s="1"/>
  <c r="I9" i="11"/>
  <c r="I10" i="11"/>
  <c r="I7" i="11"/>
  <c r="I12" i="11"/>
  <c r="P37" i="5"/>
  <c r="R37" i="5"/>
  <c r="E80" i="18"/>
  <c r="E100" i="18"/>
  <c r="J8" i="11"/>
  <c r="E126" i="18"/>
  <c r="P67" i="5"/>
  <c r="R67" i="5"/>
  <c r="E71" i="18"/>
  <c r="R80" i="5"/>
  <c r="P80" i="5"/>
  <c r="E97" i="18"/>
  <c r="E48" i="18"/>
  <c r="E47" i="18"/>
  <c r="E70" i="18"/>
  <c r="R28" i="5"/>
  <c r="P28" i="5"/>
  <c r="F17" i="2"/>
  <c r="F15" i="2"/>
  <c r="F16" i="2"/>
  <c r="F18" i="2"/>
  <c r="M12" i="11"/>
  <c r="J12" i="11"/>
  <c r="M9" i="11"/>
  <c r="E68" i="18"/>
  <c r="M8" i="11"/>
  <c r="E55" i="18"/>
  <c r="E37" i="18"/>
  <c r="J37" i="18" s="1"/>
  <c r="E49" i="18"/>
  <c r="O37" i="18"/>
  <c r="E121" i="18"/>
  <c r="O41" i="18"/>
  <c r="E50" i="18"/>
  <c r="D16" i="21"/>
  <c r="E16" i="21" s="1"/>
  <c r="J10" i="11"/>
  <c r="M10" i="11"/>
  <c r="O42" i="18"/>
  <c r="J9" i="11"/>
  <c r="B24" i="2"/>
  <c r="E82" i="18"/>
  <c r="D20" i="21"/>
  <c r="E20" i="21"/>
  <c r="D15" i="21"/>
  <c r="E15" i="21" s="1"/>
  <c r="D17" i="21"/>
  <c r="E17" i="21" s="1"/>
  <c r="R13" i="5"/>
  <c r="D12" i="10"/>
  <c r="E14" i="15"/>
  <c r="P13" i="5"/>
  <c r="AK11" i="5"/>
  <c r="B23" i="2"/>
  <c r="S7" i="5"/>
  <c r="T7" i="5"/>
  <c r="S6" i="5"/>
  <c r="T6" i="5"/>
  <c r="AK9" i="5"/>
  <c r="AK8" i="5"/>
  <c r="S11" i="5"/>
  <c r="T11" i="5"/>
  <c r="S9" i="5"/>
  <c r="T9" i="5"/>
  <c r="T13" i="5"/>
  <c r="S13" i="5"/>
  <c r="B9" i="21"/>
  <c r="B16" i="2"/>
  <c r="B17" i="2"/>
  <c r="B18" i="2"/>
  <c r="B7" i="16"/>
  <c r="C7" i="16"/>
  <c r="D7" i="16"/>
  <c r="E7" i="16"/>
  <c r="F7" i="16"/>
  <c r="G7" i="16"/>
  <c r="P7" i="16"/>
  <c r="R7" i="16"/>
  <c r="U7" i="16"/>
  <c r="B8" i="16"/>
  <c r="C8" i="16"/>
  <c r="D8" i="16"/>
  <c r="E8" i="16"/>
  <c r="F8" i="16"/>
  <c r="G8" i="16"/>
  <c r="P8" i="16"/>
  <c r="R8" i="16"/>
  <c r="U8" i="16"/>
  <c r="B9" i="16"/>
  <c r="C9" i="16"/>
  <c r="D9" i="16"/>
  <c r="E9" i="16"/>
  <c r="F9" i="16"/>
  <c r="G9" i="16"/>
  <c r="P9" i="16"/>
  <c r="R9" i="16"/>
  <c r="T9" i="16"/>
  <c r="U9" i="16"/>
  <c r="B10" i="16"/>
  <c r="C10" i="16"/>
  <c r="D10" i="16"/>
  <c r="E10" i="16"/>
  <c r="F10" i="16"/>
  <c r="G10" i="16"/>
  <c r="P10" i="16"/>
  <c r="R10" i="16"/>
  <c r="T10" i="16"/>
  <c r="U10" i="16"/>
  <c r="B11" i="16"/>
  <c r="C11" i="16"/>
  <c r="D11" i="16"/>
  <c r="E11" i="16"/>
  <c r="F11" i="16"/>
  <c r="G11" i="16"/>
  <c r="P11" i="16"/>
  <c r="R11" i="16"/>
  <c r="U11" i="16"/>
  <c r="B12" i="16"/>
  <c r="C12" i="16"/>
  <c r="D12" i="16"/>
  <c r="E12" i="16"/>
  <c r="F12" i="16"/>
  <c r="G12" i="16"/>
  <c r="P12" i="16"/>
  <c r="R12" i="16"/>
  <c r="U12" i="16"/>
  <c r="B13" i="16"/>
  <c r="C13" i="16"/>
  <c r="D13" i="16"/>
  <c r="E13" i="16"/>
  <c r="F13" i="16"/>
  <c r="G13" i="16"/>
  <c r="P13" i="16"/>
  <c r="R13" i="16"/>
  <c r="T13" i="16"/>
  <c r="U13" i="16"/>
  <c r="B6" i="16"/>
  <c r="C6" i="16"/>
  <c r="D6" i="16"/>
  <c r="E6" i="16"/>
  <c r="F6" i="16"/>
  <c r="G6" i="16"/>
  <c r="P6" i="16"/>
  <c r="R6" i="16"/>
  <c r="T6" i="16"/>
  <c r="U6" i="16"/>
  <c r="AK12" i="5"/>
  <c r="AK10" i="5"/>
  <c r="S12" i="5"/>
  <c r="T12" i="5"/>
  <c r="S8" i="5"/>
  <c r="T8" i="5"/>
  <c r="AK7" i="5"/>
  <c r="S10" i="5"/>
  <c r="T10" i="5"/>
  <c r="B19" i="21"/>
  <c r="B25" i="21"/>
  <c r="B28" i="2"/>
  <c r="AK6" i="5"/>
  <c r="E134" i="18"/>
  <c r="E132" i="18"/>
  <c r="E131" i="18"/>
  <c r="E130" i="18"/>
  <c r="E129" i="18"/>
  <c r="E128" i="18"/>
  <c r="E127" i="18"/>
  <c r="E125" i="18"/>
  <c r="E124" i="18"/>
  <c r="E123" i="18"/>
  <c r="E122" i="18"/>
  <c r="E120" i="18"/>
  <c r="E118" i="18"/>
  <c r="E116" i="18"/>
  <c r="E114" i="18"/>
  <c r="E112" i="18"/>
  <c r="E110" i="18"/>
  <c r="E107" i="18"/>
  <c r="E104" i="18"/>
  <c r="E103" i="18"/>
  <c r="E102" i="18"/>
  <c r="E101" i="18"/>
  <c r="E99" i="18"/>
  <c r="E98" i="18"/>
  <c r="E96" i="18"/>
  <c r="E95" i="18"/>
  <c r="E94" i="18"/>
  <c r="E93" i="18"/>
  <c r="E91" i="18"/>
  <c r="E89" i="18"/>
  <c r="E87" i="18"/>
  <c r="E85" i="18"/>
  <c r="E78" i="18"/>
  <c r="E74" i="18"/>
  <c r="E73" i="18"/>
  <c r="E72" i="18"/>
  <c r="E66" i="18"/>
  <c r="E62" i="18"/>
  <c r="E56" i="18"/>
  <c r="E54" i="18"/>
  <c r="E53" i="18"/>
  <c r="E52" i="18"/>
  <c r="E51" i="18"/>
  <c r="E45" i="18"/>
  <c r="E42" i="18"/>
  <c r="J42" i="18" s="1"/>
  <c r="E59" i="18"/>
  <c r="E58" i="18"/>
  <c r="B19" i="2"/>
  <c r="E43" i="18"/>
  <c r="J43" i="18" s="1"/>
  <c r="O43" i="18"/>
  <c r="E40" i="18"/>
  <c r="J40" i="18" s="1"/>
  <c r="O40" i="18"/>
  <c r="E39" i="18"/>
  <c r="J39" i="18" s="1"/>
  <c r="O39" i="18"/>
  <c r="E38" i="18"/>
  <c r="J38" i="18" s="1"/>
  <c r="O38" i="18"/>
  <c r="E36" i="18"/>
  <c r="J36" i="18" s="1"/>
  <c r="O36" i="18"/>
  <c r="J13" i="11"/>
  <c r="J11" i="11"/>
  <c r="M11" i="11"/>
  <c r="M7" i="11"/>
  <c r="J7" i="11"/>
  <c r="J6" i="11"/>
  <c r="P66" i="5" l="1"/>
  <c r="R66" i="5"/>
  <c r="I5" i="18"/>
  <c r="H5" i="18"/>
  <c r="G5" i="18"/>
  <c r="P51" i="5"/>
  <c r="R51" i="5"/>
  <c r="R70" i="5"/>
  <c r="P70" i="5"/>
  <c r="H7" i="16"/>
  <c r="I7" i="16"/>
  <c r="V7" i="16"/>
  <c r="O57" i="13"/>
  <c r="Q57" i="13" s="1"/>
  <c r="T57" i="13"/>
  <c r="P42" i="5"/>
  <c r="R42" i="5"/>
  <c r="P65" i="5"/>
  <c r="R65" i="5"/>
  <c r="R46" i="5"/>
  <c r="P46" i="5"/>
  <c r="P81" i="5"/>
  <c r="R81" i="5"/>
  <c r="R50" i="5"/>
  <c r="P50" i="5"/>
  <c r="P59" i="5"/>
  <c r="R59" i="5"/>
  <c r="U105" i="5"/>
  <c r="J105" i="16"/>
  <c r="R43" i="5"/>
  <c r="P43" i="5"/>
  <c r="R72" i="5"/>
  <c r="P72" i="5"/>
  <c r="R69" i="5"/>
  <c r="P69" i="5"/>
  <c r="R52" i="5"/>
  <c r="P52" i="5"/>
  <c r="R105" i="5"/>
  <c r="P105" i="5"/>
  <c r="P33" i="5"/>
  <c r="R33" i="5"/>
  <c r="P23" i="5"/>
  <c r="R23" i="5"/>
  <c r="R93" i="5"/>
  <c r="P93" i="5"/>
  <c r="P104" i="5"/>
  <c r="R104" i="5"/>
  <c r="R73" i="5"/>
  <c r="P73" i="5"/>
  <c r="P22" i="5"/>
  <c r="R22" i="5"/>
  <c r="P78" i="5"/>
  <c r="R78" i="5"/>
  <c r="R55" i="5"/>
  <c r="P55" i="5"/>
  <c r="R39" i="5"/>
  <c r="P39" i="5"/>
  <c r="R79" i="5"/>
  <c r="P79" i="5"/>
  <c r="P19" i="5"/>
  <c r="R19" i="5"/>
  <c r="E5" i="13"/>
  <c r="R103" i="5"/>
  <c r="P103" i="5"/>
  <c r="P95" i="5"/>
  <c r="R95" i="5"/>
  <c r="R31" i="5"/>
  <c r="P31" i="5"/>
  <c r="R85" i="5"/>
  <c r="P85" i="5"/>
  <c r="P64" i="5"/>
  <c r="R64" i="5"/>
  <c r="P57" i="5"/>
  <c r="R57" i="5"/>
  <c r="R24" i="5"/>
  <c r="P24" i="5"/>
  <c r="P17" i="5"/>
  <c r="R17" i="5"/>
  <c r="R99" i="5"/>
  <c r="P99" i="5"/>
  <c r="R87" i="5"/>
  <c r="P87" i="5"/>
  <c r="R54" i="5"/>
  <c r="P54" i="5"/>
  <c r="P30" i="5"/>
  <c r="R30" i="5"/>
  <c r="P14" i="5"/>
  <c r="R14" i="5"/>
  <c r="P92" i="5"/>
  <c r="R92" i="5"/>
  <c r="R48" i="5"/>
  <c r="P48" i="5"/>
  <c r="R41" i="5"/>
  <c r="P41" i="5"/>
  <c r="P36" i="5"/>
  <c r="R36" i="5"/>
  <c r="P29" i="5"/>
  <c r="R29" i="5"/>
  <c r="R16" i="5"/>
  <c r="P16" i="5"/>
  <c r="P76" i="5"/>
  <c r="R76" i="5"/>
  <c r="P71" i="5"/>
  <c r="R71" i="5"/>
  <c r="R35" i="5"/>
  <c r="P35" i="5"/>
  <c r="P100" i="5"/>
  <c r="R100" i="5"/>
  <c r="P77" i="5"/>
  <c r="R77" i="5"/>
  <c r="P61" i="5"/>
  <c r="R61" i="5"/>
  <c r="R101" i="5"/>
  <c r="P101" i="5"/>
  <c r="P63" i="5"/>
  <c r="R63" i="5"/>
  <c r="R60" i="5"/>
  <c r="P60" i="5"/>
  <c r="R40" i="5"/>
  <c r="P40" i="5"/>
  <c r="P98" i="5"/>
  <c r="R98" i="5"/>
  <c r="R89" i="5"/>
  <c r="P89" i="5"/>
  <c r="R84" i="5"/>
  <c r="P84" i="5"/>
  <c r="R83" i="5"/>
  <c r="P83" i="5"/>
  <c r="P82" i="5"/>
  <c r="R82" i="5"/>
  <c r="P75" i="5"/>
  <c r="R75" i="5"/>
  <c r="R47" i="5"/>
  <c r="P47" i="5"/>
  <c r="P34" i="5"/>
  <c r="R34" i="5"/>
  <c r="R32" i="5"/>
  <c r="P32" i="5"/>
  <c r="R25" i="5"/>
  <c r="P25" i="5"/>
  <c r="R21" i="5"/>
  <c r="P21" i="5"/>
  <c r="P97" i="5"/>
  <c r="R97" i="5"/>
  <c r="R96" i="5"/>
  <c r="P96" i="5"/>
  <c r="R88" i="5"/>
  <c r="P88" i="5"/>
  <c r="R86" i="5"/>
  <c r="P86" i="5"/>
  <c r="P68" i="5"/>
  <c r="R68" i="5"/>
  <c r="R58" i="5"/>
  <c r="P58" i="5"/>
  <c r="P49" i="5"/>
  <c r="R49" i="5"/>
  <c r="R44" i="5"/>
  <c r="P44" i="5"/>
  <c r="P20" i="5"/>
  <c r="R20" i="5"/>
  <c r="G11" i="15"/>
  <c r="T12" i="13"/>
  <c r="G8" i="15"/>
  <c r="O12" i="13"/>
  <c r="Q11" i="13"/>
  <c r="R11" i="13"/>
  <c r="R10" i="13"/>
  <c r="Q10" i="13"/>
  <c r="O9" i="13"/>
  <c r="G12" i="15"/>
  <c r="H12" i="14" s="1"/>
  <c r="T9" i="13"/>
  <c r="O8" i="13"/>
  <c r="D5" i="13"/>
  <c r="G5" i="13" s="1"/>
  <c r="G6" i="15"/>
  <c r="B25" i="2"/>
  <c r="G10" i="15"/>
  <c r="T8" i="13"/>
  <c r="E5" i="14"/>
  <c r="T11" i="13"/>
  <c r="T10" i="13"/>
  <c r="U13" i="5"/>
  <c r="Y13" i="5" s="1"/>
  <c r="M13" i="16"/>
  <c r="D21" i="21"/>
  <c r="E21" i="21" s="1"/>
  <c r="H8" i="16"/>
  <c r="V8" i="16"/>
  <c r="I8" i="16"/>
  <c r="L8" i="16"/>
  <c r="L10" i="16"/>
  <c r="V10" i="16"/>
  <c r="H10" i="16"/>
  <c r="I10" i="16"/>
  <c r="L12" i="16"/>
  <c r="M12" i="16"/>
  <c r="M8" i="16"/>
  <c r="M10" i="16"/>
  <c r="L6" i="16"/>
  <c r="M6" i="16"/>
  <c r="L11" i="16"/>
  <c r="V9" i="16"/>
  <c r="L9" i="16"/>
  <c r="M7" i="16"/>
  <c r="M11" i="16"/>
  <c r="V11" i="16"/>
  <c r="I11" i="16"/>
  <c r="L7" i="16"/>
  <c r="H9" i="16"/>
  <c r="I9" i="16"/>
  <c r="M9" i="16"/>
  <c r="V12" i="16"/>
  <c r="H12" i="16"/>
  <c r="I12" i="16"/>
  <c r="V6" i="16"/>
  <c r="V13" i="16"/>
  <c r="H6" i="16"/>
  <c r="H13" i="16"/>
  <c r="I6" i="16"/>
  <c r="I13" i="16"/>
  <c r="L8" i="11"/>
  <c r="Q8" i="16"/>
  <c r="L12" i="11"/>
  <c r="Q12" i="16"/>
  <c r="L10" i="11"/>
  <c r="Q10" i="16"/>
  <c r="O7" i="5"/>
  <c r="U7" i="5" s="1"/>
  <c r="L7" i="11"/>
  <c r="Q7" i="16"/>
  <c r="O12" i="5"/>
  <c r="U12" i="5" s="1"/>
  <c r="Y12" i="5" s="1"/>
  <c r="L9" i="11"/>
  <c r="Q9" i="16"/>
  <c r="H11" i="16"/>
  <c r="O11" i="5"/>
  <c r="L11" i="11"/>
  <c r="Q11" i="16"/>
  <c r="D9" i="21"/>
  <c r="D19" i="21"/>
  <c r="E19" i="21" s="1"/>
  <c r="O6" i="5"/>
  <c r="F6" i="2"/>
  <c r="H6" i="2"/>
  <c r="G9" i="2"/>
  <c r="G7" i="2"/>
  <c r="H7" i="2"/>
  <c r="J7" i="2"/>
  <c r="F8" i="2"/>
  <c r="H8" i="2"/>
  <c r="J8" i="2"/>
  <c r="F9" i="2"/>
  <c r="I9" i="2"/>
  <c r="G10" i="2"/>
  <c r="I10" i="2"/>
  <c r="G6" i="2"/>
  <c r="I6" i="2"/>
  <c r="J6" i="2"/>
  <c r="F7" i="2"/>
  <c r="I7" i="2"/>
  <c r="G8" i="2"/>
  <c r="I8" i="2"/>
  <c r="H9" i="2"/>
  <c r="J9" i="2"/>
  <c r="F10" i="2"/>
  <c r="H10" i="2"/>
  <c r="J10" i="2"/>
  <c r="O9" i="5"/>
  <c r="U9" i="5" s="1"/>
  <c r="Y9" i="5" s="1"/>
  <c r="O8" i="5"/>
  <c r="U8" i="5" s="1"/>
  <c r="O10" i="5"/>
  <c r="U10" i="5" s="1"/>
  <c r="Y10" i="5" s="1"/>
  <c r="L13" i="16"/>
  <c r="L13" i="11"/>
  <c r="Q13" i="16"/>
  <c r="L6" i="11"/>
  <c r="Q6" i="16"/>
  <c r="Y105" i="5" l="1"/>
  <c r="N105" i="16"/>
  <c r="K105" i="16"/>
  <c r="C105" i="11"/>
  <c r="H11" i="14"/>
  <c r="H10" i="14"/>
  <c r="F5" i="13"/>
  <c r="Q12" i="13"/>
  <c r="R12" i="13"/>
  <c r="R9" i="13"/>
  <c r="Q9" i="13"/>
  <c r="Q8" i="13"/>
  <c r="R8" i="13"/>
  <c r="E9" i="21"/>
  <c r="E8" i="8"/>
  <c r="U11" i="5"/>
  <c r="Y11" i="5" s="1"/>
  <c r="E205" i="15"/>
  <c r="U6" i="5"/>
  <c r="O105" i="16"/>
  <c r="AD105" i="5"/>
  <c r="S105" i="16" s="1"/>
  <c r="J13" i="16"/>
  <c r="C42" i="2"/>
  <c r="J7" i="16"/>
  <c r="C36" i="2"/>
  <c r="P7" i="5"/>
  <c r="R7" i="5"/>
  <c r="E12" i="15"/>
  <c r="E6" i="8"/>
  <c r="D9" i="10"/>
  <c r="C35" i="2"/>
  <c r="P12" i="5"/>
  <c r="R12" i="5"/>
  <c r="J12" i="16"/>
  <c r="E15" i="15"/>
  <c r="J11" i="16"/>
  <c r="E11" i="15"/>
  <c r="E8" i="15"/>
  <c r="R11" i="5"/>
  <c r="P11" i="5"/>
  <c r="N9" i="7"/>
  <c r="O9" i="7" s="1"/>
  <c r="C37" i="2"/>
  <c r="J6" i="16"/>
  <c r="C33" i="2"/>
  <c r="P6" i="5"/>
  <c r="R6" i="5"/>
  <c r="B6" i="14"/>
  <c r="E6" i="15"/>
  <c r="E10" i="15"/>
  <c r="B7" i="2"/>
  <c r="N6" i="7"/>
  <c r="O6" i="7" s="1"/>
  <c r="N7" i="7"/>
  <c r="O7" i="7" s="1"/>
  <c r="D8" i="10"/>
  <c r="D6" i="10"/>
  <c r="D7" i="10"/>
  <c r="D11" i="10"/>
  <c r="E9" i="8"/>
  <c r="N8" i="7"/>
  <c r="O8" i="7" s="1"/>
  <c r="E13" i="15"/>
  <c r="R9" i="5"/>
  <c r="P9" i="5"/>
  <c r="C34" i="2"/>
  <c r="J9" i="16"/>
  <c r="E7" i="15"/>
  <c r="D10" i="10"/>
  <c r="E7" i="8"/>
  <c r="R8" i="5"/>
  <c r="P8" i="5"/>
  <c r="C38" i="2"/>
  <c r="J8" i="16"/>
  <c r="N10" i="7"/>
  <c r="O10" i="7" s="1"/>
  <c r="E9" i="15"/>
  <c r="R10" i="5"/>
  <c r="P10" i="5"/>
  <c r="C39" i="2"/>
  <c r="J10" i="16"/>
  <c r="E31" i="2"/>
  <c r="F31" i="2"/>
  <c r="AB13" i="5"/>
  <c r="AD13" i="5"/>
  <c r="X11" i="9"/>
  <c r="Y11" i="9" s="1"/>
  <c r="F14" i="15"/>
  <c r="Y6" i="5" l="1"/>
  <c r="F205" i="15"/>
  <c r="F5" i="14"/>
  <c r="G5" i="14" s="1"/>
  <c r="N13" i="16"/>
  <c r="F42" i="2"/>
  <c r="E42" i="2"/>
  <c r="K13" i="16"/>
  <c r="C13" i="11"/>
  <c r="K7" i="16"/>
  <c r="C7" i="11"/>
  <c r="N7" i="16"/>
  <c r="F36" i="2"/>
  <c r="E36" i="2"/>
  <c r="F12" i="15"/>
  <c r="F6" i="8"/>
  <c r="X8" i="9"/>
  <c r="Y8" i="9" s="1"/>
  <c r="D12" i="14"/>
  <c r="E12" i="14" s="1"/>
  <c r="I12" i="14" s="1"/>
  <c r="F12" i="14"/>
  <c r="K12" i="16"/>
  <c r="C12" i="11"/>
  <c r="N12" i="16"/>
  <c r="E35" i="2"/>
  <c r="F35" i="2"/>
  <c r="AB12" i="5"/>
  <c r="AD12" i="5"/>
  <c r="F15" i="15"/>
  <c r="G13" i="14" s="1"/>
  <c r="D13" i="14"/>
  <c r="E13" i="14" s="1"/>
  <c r="I13" i="14" s="1"/>
  <c r="F13" i="14"/>
  <c r="N11" i="16"/>
  <c r="F8" i="8"/>
  <c r="F37" i="2"/>
  <c r="E37" i="2"/>
  <c r="F8" i="15"/>
  <c r="F11" i="15"/>
  <c r="K11" i="16"/>
  <c r="C11" i="11"/>
  <c r="K6" i="16"/>
  <c r="G16" i="2"/>
  <c r="C6" i="11"/>
  <c r="G15" i="2"/>
  <c r="G17" i="2"/>
  <c r="G18" i="2"/>
  <c r="B8" i="2"/>
  <c r="N6" i="16"/>
  <c r="E33" i="2"/>
  <c r="F33" i="2"/>
  <c r="F6" i="15"/>
  <c r="F10" i="15"/>
  <c r="B26" i="21"/>
  <c r="B10" i="2"/>
  <c r="B9" i="2"/>
  <c r="D4" i="6"/>
  <c r="X6" i="9"/>
  <c r="Y6" i="9" s="1"/>
  <c r="X7" i="9"/>
  <c r="Y7" i="9" s="1"/>
  <c r="E14" i="14"/>
  <c r="E15" i="14"/>
  <c r="E16" i="14"/>
  <c r="E17" i="14"/>
  <c r="E18" i="14"/>
  <c r="E19" i="14"/>
  <c r="E20" i="14"/>
  <c r="E21" i="14"/>
  <c r="E22" i="14"/>
  <c r="E23" i="14"/>
  <c r="E24" i="14"/>
  <c r="E25" i="14"/>
  <c r="E26" i="14"/>
  <c r="E27" i="14"/>
  <c r="E28" i="14"/>
  <c r="E29" i="14"/>
  <c r="D10" i="14"/>
  <c r="E10" i="14" s="1"/>
  <c r="F10" i="14"/>
  <c r="N9" i="16"/>
  <c r="F34" i="2"/>
  <c r="E34" i="2"/>
  <c r="F9" i="8"/>
  <c r="X9" i="9"/>
  <c r="Y9" i="9" s="1"/>
  <c r="F13" i="15"/>
  <c r="K9" i="16"/>
  <c r="C9" i="11"/>
  <c r="N8" i="16"/>
  <c r="F38" i="2"/>
  <c r="E38" i="2"/>
  <c r="F7" i="8"/>
  <c r="F7" i="15"/>
  <c r="K8" i="16"/>
  <c r="C8" i="11"/>
  <c r="D11" i="14"/>
  <c r="F11" i="14"/>
  <c r="N10" i="16"/>
  <c r="F39" i="2"/>
  <c r="E39" i="2"/>
  <c r="AD10" i="5"/>
  <c r="F9" i="15"/>
  <c r="AB10" i="5"/>
  <c r="X10" i="9"/>
  <c r="Y10" i="9" s="1"/>
  <c r="K10" i="16"/>
  <c r="C10" i="11"/>
  <c r="J3" i="16"/>
  <c r="B20" i="2"/>
  <c r="O10" i="16" l="1"/>
  <c r="AD6" i="5"/>
  <c r="O13" i="16"/>
  <c r="O9" i="16"/>
  <c r="AD9" i="5"/>
  <c r="B26" i="2"/>
  <c r="G12" i="14"/>
  <c r="N6" i="8"/>
  <c r="O6" i="8" s="1"/>
  <c r="T6" i="8" s="1"/>
  <c r="R6" i="8"/>
  <c r="N8" i="8"/>
  <c r="O8" i="8" s="1"/>
  <c r="S8" i="8" s="1"/>
  <c r="R8" i="8"/>
  <c r="L3" i="16"/>
  <c r="G10" i="14"/>
  <c r="AD11" i="5"/>
  <c r="O6" i="16"/>
  <c r="J13" i="14"/>
  <c r="J12" i="14"/>
  <c r="J10" i="14"/>
  <c r="N9" i="8"/>
  <c r="O9" i="8"/>
  <c r="S9" i="8" s="1"/>
  <c r="R9" i="8"/>
  <c r="N7" i="8"/>
  <c r="O7" i="8" s="1"/>
  <c r="T7" i="8" s="1"/>
  <c r="R7" i="8"/>
  <c r="G11" i="14"/>
  <c r="J11" i="14"/>
  <c r="E11" i="14"/>
  <c r="X7" i="5" l="1"/>
  <c r="T12" i="16" s="1"/>
  <c r="W7" i="5"/>
  <c r="S6" i="8"/>
  <c r="K6" i="20"/>
  <c r="B27" i="21" s="1"/>
  <c r="W8" i="5"/>
  <c r="X8" i="5"/>
  <c r="S13" i="16"/>
  <c r="S6" i="16"/>
  <c r="S9" i="16"/>
  <c r="S10" i="16"/>
  <c r="B22" i="2"/>
  <c r="B11" i="21"/>
  <c r="S7" i="8"/>
  <c r="Y8" i="5" l="1"/>
  <c r="O11" i="16" s="1"/>
  <c r="T11" i="16"/>
  <c r="B10" i="21"/>
  <c r="T7" i="16"/>
  <c r="Y7" i="5"/>
  <c r="O12" i="16" s="1"/>
  <c r="T8" i="16"/>
  <c r="C11" i="21"/>
  <c r="D10" i="21" l="1"/>
  <c r="B23" i="21"/>
  <c r="E10" i="21"/>
  <c r="O7" i="16"/>
  <c r="AD7" i="5"/>
  <c r="D11" i="21"/>
  <c r="C23" i="21"/>
  <c r="O8" i="16"/>
  <c r="G4" i="6"/>
  <c r="B14" i="2"/>
  <c r="F4" i="6"/>
  <c r="E4" i="6"/>
  <c r="B13" i="2"/>
  <c r="B11" i="2"/>
  <c r="H4" i="6"/>
  <c r="B12" i="2"/>
  <c r="AD8" i="5"/>
  <c r="S11" i="16" s="1"/>
  <c r="S7" i="16" l="1"/>
  <c r="S12" i="16"/>
  <c r="D23" i="21"/>
  <c r="B24" i="21" s="1"/>
  <c r="A2" i="2" s="1"/>
  <c r="E11" i="21"/>
  <c r="B15" i="2"/>
  <c r="I4" i="6"/>
  <c r="S8" i="16"/>
  <c r="AB105" i="5" l="1"/>
  <c r="AB6" i="5" l="1"/>
  <c r="B7" i="6" l="1"/>
  <c r="AB7" i="5"/>
  <c r="B8" i="6" s="1"/>
  <c r="I7" i="6" l="1"/>
  <c r="G7" i="6"/>
  <c r="K7" i="6"/>
  <c r="M7" i="6" s="1"/>
  <c r="L7" i="6"/>
  <c r="P7" i="6"/>
  <c r="E7" i="6"/>
  <c r="F7" i="6"/>
  <c r="D7" i="6"/>
  <c r="N7" i="6"/>
  <c r="O7" i="6" s="1"/>
  <c r="H7" i="6"/>
  <c r="C7" i="6"/>
  <c r="I8" i="6"/>
  <c r="D8" i="6"/>
  <c r="G8" i="6"/>
  <c r="H8" i="6"/>
  <c r="N8" i="6"/>
  <c r="O8" i="6" s="1"/>
  <c r="K8" i="6"/>
  <c r="M8" i="6" s="1"/>
  <c r="C8" i="6"/>
  <c r="E8" i="6"/>
  <c r="F8" i="6"/>
  <c r="L8" i="6"/>
  <c r="Q8" i="6" s="1"/>
  <c r="P8" i="6"/>
  <c r="AB8" i="5"/>
  <c r="B9" i="6" l="1"/>
  <c r="J7" i="6"/>
  <c r="Q7" i="6"/>
  <c r="J8" i="6"/>
  <c r="AB9" i="5"/>
  <c r="B10" i="6" l="1"/>
  <c r="AB11" i="5"/>
  <c r="B62" i="6" s="1"/>
  <c r="P9" i="6"/>
  <c r="C9" i="6"/>
  <c r="G9" i="6"/>
  <c r="D9" i="6"/>
  <c r="H9" i="6"/>
  <c r="F9" i="6"/>
  <c r="E9" i="6"/>
  <c r="L9" i="6"/>
  <c r="Q9" i="6" s="1"/>
  <c r="I9" i="6"/>
  <c r="K9" i="6"/>
  <c r="M9" i="6" s="1"/>
  <c r="N9" i="6"/>
  <c r="O9" i="6" s="1"/>
  <c r="B78" i="6" l="1"/>
  <c r="B42" i="6"/>
  <c r="B54" i="6"/>
  <c r="B41" i="6"/>
  <c r="B61" i="6"/>
  <c r="B64" i="6"/>
  <c r="I10" i="6"/>
  <c r="K10" i="6"/>
  <c r="M10" i="6" s="1"/>
  <c r="L10" i="6"/>
  <c r="H10" i="6"/>
  <c r="P10" i="6"/>
  <c r="D10" i="6"/>
  <c r="G10" i="6"/>
  <c r="J10" i="6" s="1"/>
  <c r="F10" i="6"/>
  <c r="C10" i="6"/>
  <c r="E10" i="6"/>
  <c r="N10" i="6"/>
  <c r="O10" i="6" s="1"/>
  <c r="B46" i="6"/>
  <c r="B36" i="6"/>
  <c r="B80" i="6"/>
  <c r="B59" i="6"/>
  <c r="B95" i="6"/>
  <c r="B96" i="6"/>
  <c r="B16" i="6"/>
  <c r="B69" i="6"/>
  <c r="B76" i="6"/>
  <c r="B30" i="6"/>
  <c r="B11" i="6"/>
  <c r="B55" i="6"/>
  <c r="B47" i="6"/>
  <c r="B25" i="6"/>
  <c r="B65" i="6"/>
  <c r="B87" i="6"/>
  <c r="B67" i="6"/>
  <c r="B101" i="6"/>
  <c r="B53" i="6"/>
  <c r="B50" i="6"/>
  <c r="B75" i="6"/>
  <c r="B58" i="6"/>
  <c r="B18" i="6"/>
  <c r="B14" i="6"/>
  <c r="B99" i="6"/>
  <c r="B22" i="6"/>
  <c r="B68" i="6"/>
  <c r="B28" i="6"/>
  <c r="B86" i="6"/>
  <c r="B85" i="6"/>
  <c r="B15" i="6"/>
  <c r="B66" i="6"/>
  <c r="B84" i="6"/>
  <c r="C4" i="6"/>
  <c r="B43" i="6"/>
  <c r="B92" i="6"/>
  <c r="B82" i="6"/>
  <c r="B40" i="6"/>
  <c r="B88" i="6"/>
  <c r="B98" i="6"/>
  <c r="B93" i="6"/>
  <c r="B27" i="6"/>
  <c r="B63" i="6"/>
  <c r="B38" i="6"/>
  <c r="B77" i="6"/>
  <c r="B32" i="6"/>
  <c r="B51" i="6"/>
  <c r="B83" i="6"/>
  <c r="B71" i="6"/>
  <c r="B90" i="6"/>
  <c r="B19" i="6"/>
  <c r="B31" i="6"/>
  <c r="B105" i="6"/>
  <c r="B20" i="6"/>
  <c r="B102" i="6"/>
  <c r="B91" i="6"/>
  <c r="B12" i="6"/>
  <c r="B39" i="6"/>
  <c r="B29" i="6"/>
  <c r="B52" i="6"/>
  <c r="B60" i="6"/>
  <c r="B34" i="6"/>
  <c r="B70" i="6"/>
  <c r="B24" i="6"/>
  <c r="B49" i="6"/>
  <c r="B73" i="6"/>
  <c r="B72" i="6"/>
  <c r="B45" i="6"/>
  <c r="B33" i="6"/>
  <c r="B23" i="6"/>
  <c r="B100" i="6"/>
  <c r="B74" i="6"/>
  <c r="B37" i="6"/>
  <c r="B56" i="6"/>
  <c r="B106" i="6"/>
  <c r="B79" i="6"/>
  <c r="B48" i="6"/>
  <c r="B57" i="6"/>
  <c r="B17" i="6"/>
  <c r="B26" i="6"/>
  <c r="B35" i="6"/>
  <c r="B44" i="6"/>
  <c r="B21" i="6"/>
  <c r="B103" i="6"/>
  <c r="B81" i="6"/>
  <c r="B89" i="6"/>
  <c r="B13" i="6"/>
  <c r="B97" i="6"/>
  <c r="B104" i="6"/>
  <c r="B94" i="6"/>
  <c r="J9" i="6"/>
  <c r="J62" i="6"/>
  <c r="C62" i="6"/>
  <c r="D62" i="6"/>
  <c r="E62" i="6"/>
  <c r="N62" i="6"/>
  <c r="O62" i="6" s="1"/>
  <c r="F62" i="6"/>
  <c r="Q62" i="6"/>
  <c r="G62" i="6"/>
  <c r="H62" i="6"/>
  <c r="I62" i="6"/>
  <c r="K62" i="6"/>
  <c r="M62" i="6" s="1"/>
  <c r="P62" i="6"/>
  <c r="L62" i="6"/>
  <c r="D78" i="6" l="1"/>
  <c r="F78" i="6"/>
  <c r="E78" i="6"/>
  <c r="P78" i="6"/>
  <c r="L78" i="6"/>
  <c r="H78" i="6"/>
  <c r="K78" i="6"/>
  <c r="M78" i="6" s="1"/>
  <c r="Q78" i="6"/>
  <c r="C78" i="6"/>
  <c r="G78" i="6"/>
  <c r="N78" i="6"/>
  <c r="O78" i="6" s="1"/>
  <c r="J78" i="6"/>
  <c r="I78" i="6"/>
  <c r="F42" i="6"/>
  <c r="N42" i="6"/>
  <c r="O42" i="6" s="1"/>
  <c r="E42" i="6"/>
  <c r="K42" i="6"/>
  <c r="M42" i="6" s="1"/>
  <c r="Q42" i="6"/>
  <c r="J42" i="6"/>
  <c r="C42" i="6"/>
  <c r="I42" i="6"/>
  <c r="L42" i="6"/>
  <c r="H42" i="6"/>
  <c r="P42" i="6"/>
  <c r="G42" i="6"/>
  <c r="D42" i="6"/>
  <c r="F54" i="6"/>
  <c r="I54" i="6"/>
  <c r="J54" i="6"/>
  <c r="E54" i="6"/>
  <c r="Q54" i="6"/>
  <c r="D54" i="6"/>
  <c r="H54" i="6"/>
  <c r="G54" i="6"/>
  <c r="P54" i="6"/>
  <c r="N54" i="6"/>
  <c r="O54" i="6" s="1"/>
  <c r="K54" i="6"/>
  <c r="M54" i="6" s="1"/>
  <c r="C54" i="6"/>
  <c r="L54" i="6"/>
  <c r="F41" i="6"/>
  <c r="K41" i="6"/>
  <c r="M41" i="6" s="1"/>
  <c r="H41" i="6"/>
  <c r="D41" i="6"/>
  <c r="Q41" i="6"/>
  <c r="P41" i="6"/>
  <c r="C41" i="6"/>
  <c r="E41" i="6"/>
  <c r="G41" i="6"/>
  <c r="I41" i="6"/>
  <c r="J41" i="6"/>
  <c r="N41" i="6"/>
  <c r="O41" i="6" s="1"/>
  <c r="L41" i="6"/>
  <c r="D61" i="6"/>
  <c r="K61" i="6"/>
  <c r="M61" i="6" s="1"/>
  <c r="G61" i="6"/>
  <c r="Q61" i="6"/>
  <c r="H61" i="6"/>
  <c r="P61" i="6"/>
  <c r="E61" i="6"/>
  <c r="L61" i="6"/>
  <c r="C61" i="6"/>
  <c r="F61" i="6"/>
  <c r="J61" i="6"/>
  <c r="I61" i="6"/>
  <c r="N61" i="6"/>
  <c r="O61" i="6" s="1"/>
  <c r="C64" i="6"/>
  <c r="K64" i="6"/>
  <c r="M64" i="6" s="1"/>
  <c r="E64" i="6"/>
  <c r="N64" i="6"/>
  <c r="O64" i="6" s="1"/>
  <c r="J64" i="6"/>
  <c r="P64" i="6"/>
  <c r="L64" i="6"/>
  <c r="Q64" i="6"/>
  <c r="H64" i="6"/>
  <c r="F64" i="6"/>
  <c r="I64" i="6"/>
  <c r="G64" i="6"/>
  <c r="D64" i="6"/>
  <c r="Q10" i="6"/>
  <c r="G46" i="6"/>
  <c r="E46" i="6"/>
  <c r="Q46" i="6"/>
  <c r="J46" i="6"/>
  <c r="L46" i="6"/>
  <c r="F46" i="6"/>
  <c r="N46" i="6"/>
  <c r="O46" i="6" s="1"/>
  <c r="P46" i="6"/>
  <c r="K46" i="6"/>
  <c r="M46" i="6" s="1"/>
  <c r="H46" i="6"/>
  <c r="D46" i="6"/>
  <c r="C46" i="6"/>
  <c r="I46" i="6"/>
  <c r="H36" i="6"/>
  <c r="G36" i="6"/>
  <c r="C36" i="6"/>
  <c r="F36" i="6"/>
  <c r="D36" i="6"/>
  <c r="P36" i="6"/>
  <c r="L36" i="6"/>
  <c r="E36" i="6"/>
  <c r="K36" i="6"/>
  <c r="M36" i="6" s="1"/>
  <c r="I36" i="6"/>
  <c r="J36" i="6"/>
  <c r="Q36" i="6"/>
  <c r="N36" i="6"/>
  <c r="O36" i="6" s="1"/>
  <c r="N80" i="6"/>
  <c r="O80" i="6" s="1"/>
  <c r="J80" i="6"/>
  <c r="D80" i="6"/>
  <c r="Q80" i="6"/>
  <c r="K80" i="6"/>
  <c r="M80" i="6" s="1"/>
  <c r="H80" i="6"/>
  <c r="E80" i="6"/>
  <c r="P80" i="6"/>
  <c r="G80" i="6"/>
  <c r="C80" i="6"/>
  <c r="L80" i="6"/>
  <c r="I80" i="6"/>
  <c r="F80" i="6"/>
  <c r="J59" i="6"/>
  <c r="C59" i="6"/>
  <c r="L59" i="6"/>
  <c r="G59" i="6"/>
  <c r="E59" i="6"/>
  <c r="K59" i="6"/>
  <c r="M59" i="6" s="1"/>
  <c r="I59" i="6"/>
  <c r="Q59" i="6"/>
  <c r="D59" i="6"/>
  <c r="N59" i="6"/>
  <c r="O59" i="6" s="1"/>
  <c r="F59" i="6"/>
  <c r="H59" i="6"/>
  <c r="P59" i="6"/>
  <c r="P95" i="6"/>
  <c r="N95" i="6"/>
  <c r="O95" i="6" s="1"/>
  <c r="D95" i="6"/>
  <c r="E95" i="6"/>
  <c r="C95" i="6"/>
  <c r="K95" i="6"/>
  <c r="M95" i="6" s="1"/>
  <c r="G95" i="6"/>
  <c r="J95" i="6"/>
  <c r="F95" i="6"/>
  <c r="H95" i="6"/>
  <c r="L95" i="6"/>
  <c r="Q95" i="6"/>
  <c r="I95" i="6"/>
  <c r="N96" i="6"/>
  <c r="O96" i="6" s="1"/>
  <c r="I96" i="6"/>
  <c r="C96" i="6"/>
  <c r="H96" i="6"/>
  <c r="F96" i="6"/>
  <c r="G96" i="6"/>
  <c r="E96" i="6"/>
  <c r="Q96" i="6"/>
  <c r="L96" i="6"/>
  <c r="J96" i="6"/>
  <c r="P96" i="6"/>
  <c r="D96" i="6"/>
  <c r="K96" i="6"/>
  <c r="M96" i="6" s="1"/>
  <c r="Q16" i="6"/>
  <c r="K16" i="6"/>
  <c r="M16" i="6" s="1"/>
  <c r="E16" i="6"/>
  <c r="D16" i="6"/>
  <c r="J16" i="6"/>
  <c r="G16" i="6"/>
  <c r="H16" i="6"/>
  <c r="F16" i="6"/>
  <c r="P16" i="6"/>
  <c r="L16" i="6"/>
  <c r="C16" i="6"/>
  <c r="I16" i="6"/>
  <c r="N16" i="6"/>
  <c r="O16" i="6" s="1"/>
  <c r="N69" i="6"/>
  <c r="O69" i="6" s="1"/>
  <c r="Q69" i="6"/>
  <c r="L69" i="6"/>
  <c r="C69" i="6"/>
  <c r="P69" i="6"/>
  <c r="J69" i="6"/>
  <c r="E69" i="6"/>
  <c r="I69" i="6"/>
  <c r="K69" i="6"/>
  <c r="M69" i="6" s="1"/>
  <c r="G69" i="6"/>
  <c r="H69" i="6"/>
  <c r="F69" i="6"/>
  <c r="D69" i="6"/>
  <c r="G76" i="6"/>
  <c r="K76" i="6"/>
  <c r="M76" i="6" s="1"/>
  <c r="H76" i="6"/>
  <c r="E76" i="6"/>
  <c r="Q76" i="6"/>
  <c r="C76" i="6"/>
  <c r="J76" i="6"/>
  <c r="F76" i="6"/>
  <c r="L76" i="6"/>
  <c r="P76" i="6"/>
  <c r="I76" i="6"/>
  <c r="D76" i="6"/>
  <c r="N76" i="6"/>
  <c r="O76" i="6" s="1"/>
  <c r="H30" i="6"/>
  <c r="N30" i="6"/>
  <c r="O30" i="6" s="1"/>
  <c r="Q30" i="6"/>
  <c r="L30" i="6"/>
  <c r="P30" i="6"/>
  <c r="E30" i="6"/>
  <c r="D30" i="6"/>
  <c r="G30" i="6"/>
  <c r="C30" i="6"/>
  <c r="J30" i="6"/>
  <c r="F30" i="6"/>
  <c r="K30" i="6"/>
  <c r="M30" i="6" s="1"/>
  <c r="I30" i="6"/>
  <c r="I11" i="6"/>
  <c r="D11" i="6"/>
  <c r="G11" i="6"/>
  <c r="P11" i="6"/>
  <c r="C11" i="6"/>
  <c r="H11" i="6"/>
  <c r="N11" i="6"/>
  <c r="O11" i="6" s="1"/>
  <c r="K11" i="6"/>
  <c r="M11" i="6" s="1"/>
  <c r="F11" i="6"/>
  <c r="E11" i="6"/>
  <c r="L11" i="6"/>
  <c r="Q11" i="6" s="1"/>
  <c r="J55" i="6"/>
  <c r="E55" i="6"/>
  <c r="L55" i="6"/>
  <c r="C55" i="6"/>
  <c r="F55" i="6"/>
  <c r="N55" i="6"/>
  <c r="O55" i="6" s="1"/>
  <c r="P55" i="6"/>
  <c r="I55" i="6"/>
  <c r="K55" i="6"/>
  <c r="M55" i="6" s="1"/>
  <c r="Q55" i="6"/>
  <c r="H55" i="6"/>
  <c r="G55" i="6"/>
  <c r="D55" i="6"/>
  <c r="I47" i="6"/>
  <c r="Q47" i="6"/>
  <c r="N47" i="6"/>
  <c r="O47" i="6" s="1"/>
  <c r="P47" i="6"/>
  <c r="G47" i="6"/>
  <c r="J47" i="6"/>
  <c r="C47" i="6"/>
  <c r="K47" i="6"/>
  <c r="M47" i="6" s="1"/>
  <c r="F47" i="6"/>
  <c r="E47" i="6"/>
  <c r="H47" i="6"/>
  <c r="L47" i="6"/>
  <c r="D47" i="6"/>
  <c r="D25" i="6"/>
  <c r="P25" i="6"/>
  <c r="L25" i="6"/>
  <c r="N25" i="6"/>
  <c r="O25" i="6" s="1"/>
  <c r="F25" i="6"/>
  <c r="I25" i="6"/>
  <c r="C25" i="6"/>
  <c r="G25" i="6"/>
  <c r="J25" i="6"/>
  <c r="H25" i="6"/>
  <c r="E25" i="6"/>
  <c r="Q25" i="6"/>
  <c r="K25" i="6"/>
  <c r="M25" i="6" s="1"/>
  <c r="L65" i="6"/>
  <c r="N65" i="6"/>
  <c r="O65" i="6" s="1"/>
  <c r="G65" i="6"/>
  <c r="D65" i="6"/>
  <c r="F65" i="6"/>
  <c r="K65" i="6"/>
  <c r="M65" i="6" s="1"/>
  <c r="I65" i="6"/>
  <c r="H65" i="6"/>
  <c r="Q65" i="6"/>
  <c r="J65" i="6"/>
  <c r="P65" i="6"/>
  <c r="C65" i="6"/>
  <c r="E65" i="6"/>
  <c r="N87" i="6"/>
  <c r="O87" i="6" s="1"/>
  <c r="L87" i="6"/>
  <c r="G87" i="6"/>
  <c r="F87" i="6"/>
  <c r="J87" i="6"/>
  <c r="D87" i="6"/>
  <c r="C87" i="6"/>
  <c r="H87" i="6"/>
  <c r="E87" i="6"/>
  <c r="P87" i="6"/>
  <c r="I87" i="6"/>
  <c r="K87" i="6"/>
  <c r="M87" i="6" s="1"/>
  <c r="Q87" i="6"/>
  <c r="H67" i="6"/>
  <c r="E67" i="6"/>
  <c r="K67" i="6"/>
  <c r="M67" i="6" s="1"/>
  <c r="I67" i="6"/>
  <c r="F67" i="6"/>
  <c r="J67" i="6"/>
  <c r="N67" i="6"/>
  <c r="O67" i="6" s="1"/>
  <c r="Q67" i="6"/>
  <c r="P67" i="6"/>
  <c r="D67" i="6"/>
  <c r="C67" i="6"/>
  <c r="L67" i="6"/>
  <c r="G67" i="6"/>
  <c r="J101" i="6"/>
  <c r="C101" i="6"/>
  <c r="F101" i="6"/>
  <c r="E101" i="6"/>
  <c r="K101" i="6"/>
  <c r="M101" i="6" s="1"/>
  <c r="H101" i="6"/>
  <c r="Q101" i="6"/>
  <c r="I101" i="6"/>
  <c r="G101" i="6"/>
  <c r="D101" i="6"/>
  <c r="P101" i="6"/>
  <c r="L101" i="6"/>
  <c r="N101" i="6"/>
  <c r="O101" i="6" s="1"/>
  <c r="I53" i="6"/>
  <c r="J53" i="6"/>
  <c r="F53" i="6"/>
  <c r="D53" i="6"/>
  <c r="C53" i="6"/>
  <c r="H53" i="6"/>
  <c r="K53" i="6"/>
  <c r="M53" i="6" s="1"/>
  <c r="N53" i="6"/>
  <c r="O53" i="6" s="1"/>
  <c r="P53" i="6"/>
  <c r="E53" i="6"/>
  <c r="G53" i="6"/>
  <c r="Q53" i="6"/>
  <c r="L53" i="6"/>
  <c r="H50" i="6"/>
  <c r="K50" i="6"/>
  <c r="M50" i="6" s="1"/>
  <c r="F50" i="6"/>
  <c r="G50" i="6"/>
  <c r="Q50" i="6"/>
  <c r="J50" i="6"/>
  <c r="L50" i="6"/>
  <c r="C50" i="6"/>
  <c r="P50" i="6"/>
  <c r="D50" i="6"/>
  <c r="E50" i="6"/>
  <c r="N50" i="6"/>
  <c r="O50" i="6" s="1"/>
  <c r="I50" i="6"/>
  <c r="F75" i="6"/>
  <c r="G75" i="6"/>
  <c r="N75" i="6"/>
  <c r="O75" i="6" s="1"/>
  <c r="H75" i="6"/>
  <c r="I75" i="6"/>
  <c r="E75" i="6"/>
  <c r="D75" i="6"/>
  <c r="P75" i="6"/>
  <c r="J75" i="6"/>
  <c r="L75" i="6"/>
  <c r="K75" i="6"/>
  <c r="M75" i="6" s="1"/>
  <c r="Q75" i="6"/>
  <c r="C75" i="6"/>
  <c r="L58" i="6"/>
  <c r="F58" i="6"/>
  <c r="N58" i="6"/>
  <c r="O58" i="6" s="1"/>
  <c r="J58" i="6"/>
  <c r="Q58" i="6"/>
  <c r="H58" i="6"/>
  <c r="I58" i="6"/>
  <c r="C58" i="6"/>
  <c r="K58" i="6"/>
  <c r="M58" i="6" s="1"/>
  <c r="P58" i="6"/>
  <c r="D58" i="6"/>
  <c r="E58" i="6"/>
  <c r="G58" i="6"/>
  <c r="J18" i="6"/>
  <c r="D18" i="6"/>
  <c r="E18" i="6"/>
  <c r="Q18" i="6"/>
  <c r="G18" i="6"/>
  <c r="L18" i="6"/>
  <c r="I18" i="6"/>
  <c r="H18" i="6"/>
  <c r="K18" i="6"/>
  <c r="M18" i="6" s="1"/>
  <c r="F18" i="6"/>
  <c r="N18" i="6"/>
  <c r="O18" i="6" s="1"/>
  <c r="C18" i="6"/>
  <c r="P18" i="6"/>
  <c r="D14" i="6"/>
  <c r="N14" i="6"/>
  <c r="O14" i="6" s="1"/>
  <c r="I14" i="6"/>
  <c r="E14" i="6"/>
  <c r="G14" i="6"/>
  <c r="C14" i="6"/>
  <c r="Q14" i="6"/>
  <c r="K14" i="6"/>
  <c r="M14" i="6" s="1"/>
  <c r="P14" i="6"/>
  <c r="L14" i="6"/>
  <c r="H14" i="6"/>
  <c r="J14" i="6"/>
  <c r="F14" i="6"/>
  <c r="Q99" i="6"/>
  <c r="K99" i="6"/>
  <c r="M99" i="6" s="1"/>
  <c r="D99" i="6"/>
  <c r="P99" i="6"/>
  <c r="C99" i="6"/>
  <c r="G99" i="6"/>
  <c r="N99" i="6"/>
  <c r="O99" i="6" s="1"/>
  <c r="L99" i="6"/>
  <c r="H99" i="6"/>
  <c r="I99" i="6"/>
  <c r="F99" i="6"/>
  <c r="E99" i="6"/>
  <c r="J99" i="6"/>
  <c r="J22" i="6"/>
  <c r="F22" i="6"/>
  <c r="G22" i="6"/>
  <c r="D22" i="6"/>
  <c r="N22" i="6"/>
  <c r="O22" i="6" s="1"/>
  <c r="Q22" i="6"/>
  <c r="E22" i="6"/>
  <c r="K22" i="6"/>
  <c r="M22" i="6" s="1"/>
  <c r="H22" i="6"/>
  <c r="P22" i="6"/>
  <c r="I22" i="6"/>
  <c r="C22" i="6"/>
  <c r="L22" i="6"/>
  <c r="I68" i="6"/>
  <c r="J68" i="6"/>
  <c r="K68" i="6"/>
  <c r="M68" i="6" s="1"/>
  <c r="C68" i="6"/>
  <c r="E68" i="6"/>
  <c r="D68" i="6"/>
  <c r="F68" i="6"/>
  <c r="H68" i="6"/>
  <c r="P68" i="6"/>
  <c r="L68" i="6"/>
  <c r="N68" i="6"/>
  <c r="O68" i="6" s="1"/>
  <c r="Q68" i="6"/>
  <c r="G68" i="6"/>
  <c r="F28" i="6"/>
  <c r="Q28" i="6"/>
  <c r="L28" i="6"/>
  <c r="C28" i="6"/>
  <c r="E28" i="6"/>
  <c r="N28" i="6"/>
  <c r="O28" i="6" s="1"/>
  <c r="H28" i="6"/>
  <c r="G28" i="6"/>
  <c r="P28" i="6"/>
  <c r="I28" i="6"/>
  <c r="J28" i="6"/>
  <c r="D28" i="6"/>
  <c r="K28" i="6"/>
  <c r="M28" i="6" s="1"/>
  <c r="D86" i="6"/>
  <c r="L86" i="6"/>
  <c r="J86" i="6"/>
  <c r="K86" i="6"/>
  <c r="M86" i="6" s="1"/>
  <c r="Q86" i="6"/>
  <c r="I86" i="6"/>
  <c r="P86" i="6"/>
  <c r="F86" i="6"/>
  <c r="C86" i="6"/>
  <c r="G86" i="6"/>
  <c r="N86" i="6"/>
  <c r="O86" i="6" s="1"/>
  <c r="E86" i="6"/>
  <c r="H86" i="6"/>
  <c r="G85" i="6"/>
  <c r="H85" i="6"/>
  <c r="J85" i="6"/>
  <c r="C85" i="6"/>
  <c r="N85" i="6"/>
  <c r="O85" i="6" s="1"/>
  <c r="E85" i="6"/>
  <c r="P85" i="6"/>
  <c r="I85" i="6"/>
  <c r="L85" i="6"/>
  <c r="F85" i="6"/>
  <c r="K85" i="6"/>
  <c r="M85" i="6" s="1"/>
  <c r="Q85" i="6"/>
  <c r="D85" i="6"/>
  <c r="K15" i="6"/>
  <c r="M15" i="6" s="1"/>
  <c r="L15" i="6"/>
  <c r="N15" i="6"/>
  <c r="O15" i="6" s="1"/>
  <c r="I15" i="6"/>
  <c r="H15" i="6"/>
  <c r="Q15" i="6"/>
  <c r="G15" i="6"/>
  <c r="P15" i="6"/>
  <c r="D15" i="6"/>
  <c r="F15" i="6"/>
  <c r="E15" i="6"/>
  <c r="C15" i="6"/>
  <c r="J15" i="6"/>
  <c r="H66" i="6"/>
  <c r="C66" i="6"/>
  <c r="D66" i="6"/>
  <c r="J66" i="6"/>
  <c r="L66" i="6"/>
  <c r="N66" i="6"/>
  <c r="O66" i="6" s="1"/>
  <c r="F66" i="6"/>
  <c r="P66" i="6"/>
  <c r="Q66" i="6"/>
  <c r="E66" i="6"/>
  <c r="I66" i="6"/>
  <c r="G66" i="6"/>
  <c r="K66" i="6"/>
  <c r="M66" i="6" s="1"/>
  <c r="H84" i="6"/>
  <c r="P84" i="6"/>
  <c r="N84" i="6"/>
  <c r="O84" i="6" s="1"/>
  <c r="C84" i="6"/>
  <c r="Q84" i="6"/>
  <c r="F84" i="6"/>
  <c r="D84" i="6"/>
  <c r="K84" i="6"/>
  <c r="M84" i="6" s="1"/>
  <c r="J84" i="6"/>
  <c r="G84" i="6"/>
  <c r="L84" i="6"/>
  <c r="I84" i="6"/>
  <c r="E84" i="6"/>
  <c r="N43" i="6"/>
  <c r="O43" i="6" s="1"/>
  <c r="H43" i="6"/>
  <c r="I43" i="6"/>
  <c r="P43" i="6"/>
  <c r="F43" i="6"/>
  <c r="K43" i="6"/>
  <c r="M43" i="6" s="1"/>
  <c r="E43" i="6"/>
  <c r="G43" i="6"/>
  <c r="Q43" i="6"/>
  <c r="D43" i="6"/>
  <c r="L43" i="6"/>
  <c r="J43" i="6"/>
  <c r="C43" i="6"/>
  <c r="D92" i="6"/>
  <c r="F92" i="6"/>
  <c r="E92" i="6"/>
  <c r="G92" i="6"/>
  <c r="I92" i="6"/>
  <c r="Q92" i="6"/>
  <c r="P92" i="6"/>
  <c r="N92" i="6"/>
  <c r="O92" i="6" s="1"/>
  <c r="C92" i="6"/>
  <c r="L92" i="6"/>
  <c r="H92" i="6"/>
  <c r="K92" i="6"/>
  <c r="M92" i="6" s="1"/>
  <c r="J92" i="6"/>
  <c r="G82" i="6"/>
  <c r="C82" i="6"/>
  <c r="J82" i="6"/>
  <c r="E82" i="6"/>
  <c r="P82" i="6"/>
  <c r="N82" i="6"/>
  <c r="O82" i="6" s="1"/>
  <c r="F82" i="6"/>
  <c r="K82" i="6"/>
  <c r="M82" i="6" s="1"/>
  <c r="D82" i="6"/>
  <c r="Q82" i="6"/>
  <c r="I82" i="6"/>
  <c r="H82" i="6"/>
  <c r="L82" i="6"/>
  <c r="Q40" i="6"/>
  <c r="P40" i="6"/>
  <c r="J40" i="6"/>
  <c r="L40" i="6"/>
  <c r="N40" i="6"/>
  <c r="O40" i="6" s="1"/>
  <c r="F40" i="6"/>
  <c r="E40" i="6"/>
  <c r="K40" i="6"/>
  <c r="M40" i="6" s="1"/>
  <c r="H40" i="6"/>
  <c r="G40" i="6"/>
  <c r="C40" i="6"/>
  <c r="I40" i="6"/>
  <c r="D40" i="6"/>
  <c r="C88" i="6"/>
  <c r="I88" i="6"/>
  <c r="J88" i="6"/>
  <c r="K88" i="6"/>
  <c r="M88" i="6" s="1"/>
  <c r="G88" i="6"/>
  <c r="Q88" i="6"/>
  <c r="H88" i="6"/>
  <c r="L88" i="6"/>
  <c r="D88" i="6"/>
  <c r="P88" i="6"/>
  <c r="F88" i="6"/>
  <c r="E88" i="6"/>
  <c r="N88" i="6"/>
  <c r="O88" i="6" s="1"/>
  <c r="Q98" i="6"/>
  <c r="K98" i="6"/>
  <c r="M98" i="6" s="1"/>
  <c r="F98" i="6"/>
  <c r="H98" i="6"/>
  <c r="G98" i="6"/>
  <c r="E98" i="6"/>
  <c r="P98" i="6"/>
  <c r="L98" i="6"/>
  <c r="J98" i="6"/>
  <c r="N98" i="6"/>
  <c r="O98" i="6" s="1"/>
  <c r="I98" i="6"/>
  <c r="D98" i="6"/>
  <c r="C98" i="6"/>
  <c r="K93" i="6"/>
  <c r="M93" i="6" s="1"/>
  <c r="F93" i="6"/>
  <c r="H93" i="6"/>
  <c r="P93" i="6"/>
  <c r="G93" i="6"/>
  <c r="L93" i="6"/>
  <c r="Q93" i="6"/>
  <c r="C93" i="6"/>
  <c r="E93" i="6"/>
  <c r="D93" i="6"/>
  <c r="J93" i="6"/>
  <c r="I93" i="6"/>
  <c r="N93" i="6"/>
  <c r="O93" i="6" s="1"/>
  <c r="N27" i="6"/>
  <c r="O27" i="6" s="1"/>
  <c r="F27" i="6"/>
  <c r="E27" i="6"/>
  <c r="I27" i="6"/>
  <c r="J27" i="6"/>
  <c r="C27" i="6"/>
  <c r="G27" i="6"/>
  <c r="H27" i="6"/>
  <c r="P27" i="6"/>
  <c r="K27" i="6"/>
  <c r="M27" i="6" s="1"/>
  <c r="L27" i="6"/>
  <c r="Q27" i="6"/>
  <c r="D27" i="6"/>
  <c r="Q63" i="6"/>
  <c r="P63" i="6"/>
  <c r="G63" i="6"/>
  <c r="D63" i="6"/>
  <c r="C63" i="6"/>
  <c r="L63" i="6"/>
  <c r="E63" i="6"/>
  <c r="J63" i="6"/>
  <c r="I63" i="6"/>
  <c r="K63" i="6"/>
  <c r="M63" i="6" s="1"/>
  <c r="N63" i="6"/>
  <c r="O63" i="6" s="1"/>
  <c r="F63" i="6"/>
  <c r="H63" i="6"/>
  <c r="E38" i="6"/>
  <c r="J38" i="6"/>
  <c r="K38" i="6"/>
  <c r="M38" i="6" s="1"/>
  <c r="H38" i="6"/>
  <c r="L38" i="6"/>
  <c r="F38" i="6"/>
  <c r="P38" i="6"/>
  <c r="G38" i="6"/>
  <c r="N38" i="6"/>
  <c r="O38" i="6" s="1"/>
  <c r="Q38" i="6"/>
  <c r="C38" i="6"/>
  <c r="D38" i="6"/>
  <c r="I38" i="6"/>
  <c r="I77" i="6"/>
  <c r="Q77" i="6"/>
  <c r="E77" i="6"/>
  <c r="K77" i="6"/>
  <c r="M77" i="6" s="1"/>
  <c r="P77" i="6"/>
  <c r="N77" i="6"/>
  <c r="O77" i="6" s="1"/>
  <c r="H77" i="6"/>
  <c r="C77" i="6"/>
  <c r="J77" i="6"/>
  <c r="L77" i="6"/>
  <c r="G77" i="6"/>
  <c r="D77" i="6"/>
  <c r="F77" i="6"/>
  <c r="K32" i="6"/>
  <c r="M32" i="6" s="1"/>
  <c r="E32" i="6"/>
  <c r="G32" i="6"/>
  <c r="P32" i="6"/>
  <c r="J32" i="6"/>
  <c r="Q32" i="6"/>
  <c r="F32" i="6"/>
  <c r="I32" i="6"/>
  <c r="D32" i="6"/>
  <c r="N32" i="6"/>
  <c r="O32" i="6" s="1"/>
  <c r="C32" i="6"/>
  <c r="L32" i="6"/>
  <c r="H32" i="6"/>
  <c r="L51" i="6"/>
  <c r="G51" i="6"/>
  <c r="F51" i="6"/>
  <c r="J51" i="6"/>
  <c r="Q51" i="6"/>
  <c r="I51" i="6"/>
  <c r="K51" i="6"/>
  <c r="M51" i="6" s="1"/>
  <c r="E51" i="6"/>
  <c r="C51" i="6"/>
  <c r="N51" i="6"/>
  <c r="O51" i="6" s="1"/>
  <c r="P51" i="6"/>
  <c r="H51" i="6"/>
  <c r="D51" i="6"/>
  <c r="J83" i="6"/>
  <c r="Q83" i="6"/>
  <c r="E83" i="6"/>
  <c r="P83" i="6"/>
  <c r="N83" i="6"/>
  <c r="O83" i="6" s="1"/>
  <c r="I83" i="6"/>
  <c r="G83" i="6"/>
  <c r="K83" i="6"/>
  <c r="M83" i="6" s="1"/>
  <c r="L83" i="6"/>
  <c r="D83" i="6"/>
  <c r="F83" i="6"/>
  <c r="H83" i="6"/>
  <c r="C83" i="6"/>
  <c r="F71" i="6"/>
  <c r="L71" i="6"/>
  <c r="K71" i="6"/>
  <c r="M71" i="6" s="1"/>
  <c r="C71" i="6"/>
  <c r="I71" i="6"/>
  <c r="G71" i="6"/>
  <c r="N71" i="6"/>
  <c r="O71" i="6" s="1"/>
  <c r="Q71" i="6"/>
  <c r="E71" i="6"/>
  <c r="P71" i="6"/>
  <c r="H71" i="6"/>
  <c r="D71" i="6"/>
  <c r="J71" i="6"/>
  <c r="L90" i="6"/>
  <c r="P90" i="6"/>
  <c r="J90" i="6"/>
  <c r="D90" i="6"/>
  <c r="G90" i="6"/>
  <c r="I90" i="6"/>
  <c r="K90" i="6"/>
  <c r="M90" i="6" s="1"/>
  <c r="C90" i="6"/>
  <c r="Q90" i="6"/>
  <c r="H90" i="6"/>
  <c r="F90" i="6"/>
  <c r="N90" i="6"/>
  <c r="O90" i="6" s="1"/>
  <c r="E90" i="6"/>
  <c r="F19" i="6"/>
  <c r="N19" i="6"/>
  <c r="O19" i="6" s="1"/>
  <c r="H19" i="6"/>
  <c r="C19" i="6"/>
  <c r="I19" i="6"/>
  <c r="Q19" i="6"/>
  <c r="E19" i="6"/>
  <c r="L19" i="6"/>
  <c r="P19" i="6"/>
  <c r="D19" i="6"/>
  <c r="K19" i="6"/>
  <c r="M19" i="6" s="1"/>
  <c r="G19" i="6"/>
  <c r="J19" i="6"/>
  <c r="H31" i="6"/>
  <c r="E31" i="6"/>
  <c r="P31" i="6"/>
  <c r="G31" i="6"/>
  <c r="Q31" i="6"/>
  <c r="L31" i="6"/>
  <c r="D31" i="6"/>
  <c r="N31" i="6"/>
  <c r="O31" i="6" s="1"/>
  <c r="I31" i="6"/>
  <c r="F31" i="6"/>
  <c r="C31" i="6"/>
  <c r="J31" i="6"/>
  <c r="K31" i="6"/>
  <c r="M31" i="6" s="1"/>
  <c r="N105" i="6"/>
  <c r="O105" i="6" s="1"/>
  <c r="I105" i="6"/>
  <c r="K105" i="6"/>
  <c r="M105" i="6" s="1"/>
  <c r="D105" i="6"/>
  <c r="J105" i="6"/>
  <c r="P105" i="6"/>
  <c r="G105" i="6"/>
  <c r="E105" i="6"/>
  <c r="H105" i="6"/>
  <c r="L105" i="6"/>
  <c r="F105" i="6"/>
  <c r="C105" i="6"/>
  <c r="Q105" i="6"/>
  <c r="C20" i="6"/>
  <c r="D20" i="6"/>
  <c r="N20" i="6"/>
  <c r="O20" i="6" s="1"/>
  <c r="Q20" i="6"/>
  <c r="H20" i="6"/>
  <c r="K20" i="6"/>
  <c r="M20" i="6" s="1"/>
  <c r="G20" i="6"/>
  <c r="J20" i="6"/>
  <c r="E20" i="6"/>
  <c r="P20" i="6"/>
  <c r="I20" i="6"/>
  <c r="F20" i="6"/>
  <c r="L20" i="6"/>
  <c r="C102" i="6"/>
  <c r="G102" i="6"/>
  <c r="E102" i="6"/>
  <c r="H102" i="6"/>
  <c r="K102" i="6"/>
  <c r="M102" i="6" s="1"/>
  <c r="L102" i="6"/>
  <c r="F102" i="6"/>
  <c r="P102" i="6"/>
  <c r="Q102" i="6"/>
  <c r="J102" i="6"/>
  <c r="N102" i="6"/>
  <c r="O102" i="6" s="1"/>
  <c r="I102" i="6"/>
  <c r="D102" i="6"/>
  <c r="E91" i="6"/>
  <c r="G91" i="6"/>
  <c r="N91" i="6"/>
  <c r="O91" i="6" s="1"/>
  <c r="C91" i="6"/>
  <c r="F91" i="6"/>
  <c r="H91" i="6"/>
  <c r="Q91" i="6"/>
  <c r="L91" i="6"/>
  <c r="D91" i="6"/>
  <c r="I91" i="6"/>
  <c r="P91" i="6"/>
  <c r="J91" i="6"/>
  <c r="K91" i="6"/>
  <c r="M91" i="6" s="1"/>
  <c r="F12" i="6"/>
  <c r="G12" i="6"/>
  <c r="J12" i="6" s="1"/>
  <c r="P12" i="6"/>
  <c r="N12" i="6"/>
  <c r="O12" i="6" s="1"/>
  <c r="E12" i="6"/>
  <c r="D12" i="6"/>
  <c r="H12" i="6"/>
  <c r="L12" i="6"/>
  <c r="Q12" i="6" s="1"/>
  <c r="K12" i="6"/>
  <c r="M12" i="6" s="1"/>
  <c r="I12" i="6"/>
  <c r="C12" i="6"/>
  <c r="P39" i="6"/>
  <c r="I39" i="6"/>
  <c r="Q39" i="6"/>
  <c r="N39" i="6"/>
  <c r="O39" i="6" s="1"/>
  <c r="G39" i="6"/>
  <c r="E39" i="6"/>
  <c r="C39" i="6"/>
  <c r="F39" i="6"/>
  <c r="H39" i="6"/>
  <c r="D39" i="6"/>
  <c r="J39" i="6"/>
  <c r="K39" i="6"/>
  <c r="M39" i="6" s="1"/>
  <c r="L39" i="6"/>
  <c r="I29" i="6"/>
  <c r="D29" i="6"/>
  <c r="P29" i="6"/>
  <c r="F29" i="6"/>
  <c r="K29" i="6"/>
  <c r="M29" i="6" s="1"/>
  <c r="H29" i="6"/>
  <c r="J29" i="6"/>
  <c r="C29" i="6"/>
  <c r="N29" i="6"/>
  <c r="O29" i="6" s="1"/>
  <c r="E29" i="6"/>
  <c r="G29" i="6"/>
  <c r="L29" i="6"/>
  <c r="Q29" i="6"/>
  <c r="L52" i="6"/>
  <c r="I52" i="6"/>
  <c r="C52" i="6"/>
  <c r="K52" i="6"/>
  <c r="M52" i="6" s="1"/>
  <c r="H52" i="6"/>
  <c r="N52" i="6"/>
  <c r="O52" i="6" s="1"/>
  <c r="D52" i="6"/>
  <c r="E52" i="6"/>
  <c r="P52" i="6"/>
  <c r="G52" i="6"/>
  <c r="F52" i="6"/>
  <c r="J52" i="6"/>
  <c r="Q52" i="6"/>
  <c r="N60" i="6"/>
  <c r="O60" i="6" s="1"/>
  <c r="K60" i="6"/>
  <c r="M60" i="6" s="1"/>
  <c r="P60" i="6"/>
  <c r="G60" i="6"/>
  <c r="F60" i="6"/>
  <c r="Q60" i="6"/>
  <c r="C60" i="6"/>
  <c r="L60" i="6"/>
  <c r="D60" i="6"/>
  <c r="H60" i="6"/>
  <c r="E60" i="6"/>
  <c r="J60" i="6"/>
  <c r="I60" i="6"/>
  <c r="N34" i="6"/>
  <c r="O34" i="6" s="1"/>
  <c r="G34" i="6"/>
  <c r="D34" i="6"/>
  <c r="H34" i="6"/>
  <c r="Q34" i="6"/>
  <c r="I34" i="6"/>
  <c r="C34" i="6"/>
  <c r="L34" i="6"/>
  <c r="P34" i="6"/>
  <c r="J34" i="6"/>
  <c r="K34" i="6"/>
  <c r="M34" i="6" s="1"/>
  <c r="E34" i="6"/>
  <c r="F34" i="6"/>
  <c r="N70" i="6"/>
  <c r="O70" i="6" s="1"/>
  <c r="I70" i="6"/>
  <c r="D70" i="6"/>
  <c r="H70" i="6"/>
  <c r="K70" i="6"/>
  <c r="M70" i="6" s="1"/>
  <c r="L70" i="6"/>
  <c r="J70" i="6"/>
  <c r="C70" i="6"/>
  <c r="Q70" i="6"/>
  <c r="F70" i="6"/>
  <c r="P70" i="6"/>
  <c r="E70" i="6"/>
  <c r="G70" i="6"/>
  <c r="C24" i="6"/>
  <c r="D24" i="6"/>
  <c r="Q24" i="6"/>
  <c r="P24" i="6"/>
  <c r="F24" i="6"/>
  <c r="K24" i="6"/>
  <c r="M24" i="6" s="1"/>
  <c r="G24" i="6"/>
  <c r="I24" i="6"/>
  <c r="L24" i="6"/>
  <c r="N24" i="6"/>
  <c r="O24" i="6" s="1"/>
  <c r="H24" i="6"/>
  <c r="E24" i="6"/>
  <c r="J24" i="6"/>
  <c r="D49" i="6"/>
  <c r="C49" i="6"/>
  <c r="H49" i="6"/>
  <c r="P49" i="6"/>
  <c r="I49" i="6"/>
  <c r="J49" i="6"/>
  <c r="K49" i="6"/>
  <c r="M49" i="6" s="1"/>
  <c r="L49" i="6"/>
  <c r="E49" i="6"/>
  <c r="F49" i="6"/>
  <c r="G49" i="6"/>
  <c r="Q49" i="6"/>
  <c r="N49" i="6"/>
  <c r="O49" i="6" s="1"/>
  <c r="H73" i="6"/>
  <c r="F73" i="6"/>
  <c r="C73" i="6"/>
  <c r="P73" i="6"/>
  <c r="N73" i="6"/>
  <c r="O73" i="6" s="1"/>
  <c r="E73" i="6"/>
  <c r="Q73" i="6"/>
  <c r="J73" i="6"/>
  <c r="D73" i="6"/>
  <c r="I73" i="6"/>
  <c r="G73" i="6"/>
  <c r="L73" i="6"/>
  <c r="K73" i="6"/>
  <c r="M73" i="6" s="1"/>
  <c r="Q72" i="6"/>
  <c r="N72" i="6"/>
  <c r="O72" i="6" s="1"/>
  <c r="E72" i="6"/>
  <c r="H72" i="6"/>
  <c r="J72" i="6"/>
  <c r="C72" i="6"/>
  <c r="K72" i="6"/>
  <c r="M72" i="6" s="1"/>
  <c r="D72" i="6"/>
  <c r="G72" i="6"/>
  <c r="F72" i="6"/>
  <c r="L72" i="6"/>
  <c r="P72" i="6"/>
  <c r="I72" i="6"/>
  <c r="H45" i="6"/>
  <c r="N45" i="6"/>
  <c r="O45" i="6" s="1"/>
  <c r="J45" i="6"/>
  <c r="D45" i="6"/>
  <c r="I45" i="6"/>
  <c r="P45" i="6"/>
  <c r="K45" i="6"/>
  <c r="M45" i="6" s="1"/>
  <c r="Q45" i="6"/>
  <c r="E45" i="6"/>
  <c r="C45" i="6"/>
  <c r="L45" i="6"/>
  <c r="F45" i="6"/>
  <c r="G45" i="6"/>
  <c r="L33" i="6"/>
  <c r="F33" i="6"/>
  <c r="C33" i="6"/>
  <c r="E33" i="6"/>
  <c r="H33" i="6"/>
  <c r="J33" i="6"/>
  <c r="P33" i="6"/>
  <c r="K33" i="6"/>
  <c r="M33" i="6" s="1"/>
  <c r="Q33" i="6"/>
  <c r="N33" i="6"/>
  <c r="O33" i="6" s="1"/>
  <c r="I33" i="6"/>
  <c r="D33" i="6"/>
  <c r="G33" i="6"/>
  <c r="P23" i="6"/>
  <c r="J23" i="6"/>
  <c r="H23" i="6"/>
  <c r="L23" i="6"/>
  <c r="E23" i="6"/>
  <c r="F23" i="6"/>
  <c r="N23" i="6"/>
  <c r="O23" i="6" s="1"/>
  <c r="Q23" i="6"/>
  <c r="K23" i="6"/>
  <c r="M23" i="6" s="1"/>
  <c r="G23" i="6"/>
  <c r="I23" i="6"/>
  <c r="D23" i="6"/>
  <c r="C23" i="6"/>
  <c r="E100" i="6"/>
  <c r="G100" i="6"/>
  <c r="K100" i="6"/>
  <c r="M100" i="6" s="1"/>
  <c r="I100" i="6"/>
  <c r="H100" i="6"/>
  <c r="C100" i="6"/>
  <c r="Q100" i="6"/>
  <c r="N100" i="6"/>
  <c r="O100" i="6" s="1"/>
  <c r="L100" i="6"/>
  <c r="P100" i="6"/>
  <c r="D100" i="6"/>
  <c r="J100" i="6"/>
  <c r="F100" i="6"/>
  <c r="D74" i="6"/>
  <c r="C74" i="6"/>
  <c r="J74" i="6"/>
  <c r="Q74" i="6"/>
  <c r="F74" i="6"/>
  <c r="K74" i="6"/>
  <c r="M74" i="6" s="1"/>
  <c r="I74" i="6"/>
  <c r="P74" i="6"/>
  <c r="H74" i="6"/>
  <c r="L74" i="6"/>
  <c r="E74" i="6"/>
  <c r="N74" i="6"/>
  <c r="O74" i="6" s="1"/>
  <c r="G74" i="6"/>
  <c r="G37" i="6"/>
  <c r="F37" i="6"/>
  <c r="N37" i="6"/>
  <c r="O37" i="6" s="1"/>
  <c r="L37" i="6"/>
  <c r="Q37" i="6"/>
  <c r="D37" i="6"/>
  <c r="C37" i="6"/>
  <c r="H37" i="6"/>
  <c r="K37" i="6"/>
  <c r="M37" i="6" s="1"/>
  <c r="P37" i="6"/>
  <c r="E37" i="6"/>
  <c r="J37" i="6"/>
  <c r="I37" i="6"/>
  <c r="Q56" i="6"/>
  <c r="G56" i="6"/>
  <c r="C56" i="6"/>
  <c r="L56" i="6"/>
  <c r="K56" i="6"/>
  <c r="M56" i="6" s="1"/>
  <c r="J56" i="6"/>
  <c r="P56" i="6"/>
  <c r="H56" i="6"/>
  <c r="E56" i="6"/>
  <c r="D56" i="6"/>
  <c r="F56" i="6"/>
  <c r="N56" i="6"/>
  <c r="O56" i="6" s="1"/>
  <c r="I56" i="6"/>
  <c r="C106" i="6"/>
  <c r="Q106" i="6"/>
  <c r="K106" i="6"/>
  <c r="M106" i="6" s="1"/>
  <c r="P106" i="6"/>
  <c r="I106" i="6"/>
  <c r="L106" i="6"/>
  <c r="H106" i="6"/>
  <c r="F106" i="6"/>
  <c r="G106" i="6"/>
  <c r="N106" i="6"/>
  <c r="O106" i="6" s="1"/>
  <c r="E106" i="6"/>
  <c r="J106" i="6"/>
  <c r="D106" i="6"/>
  <c r="E79" i="6"/>
  <c r="P79" i="6"/>
  <c r="Q79" i="6"/>
  <c r="K79" i="6"/>
  <c r="M79" i="6" s="1"/>
  <c r="J79" i="6"/>
  <c r="N79" i="6"/>
  <c r="O79" i="6" s="1"/>
  <c r="G79" i="6"/>
  <c r="D79" i="6"/>
  <c r="I79" i="6"/>
  <c r="L79" i="6"/>
  <c r="H79" i="6"/>
  <c r="C79" i="6"/>
  <c r="F79" i="6"/>
  <c r="H48" i="6"/>
  <c r="Q48" i="6"/>
  <c r="N48" i="6"/>
  <c r="O48" i="6" s="1"/>
  <c r="P48" i="6"/>
  <c r="E48" i="6"/>
  <c r="C48" i="6"/>
  <c r="G48" i="6"/>
  <c r="I48" i="6"/>
  <c r="F48" i="6"/>
  <c r="J48" i="6"/>
  <c r="L48" i="6"/>
  <c r="D48" i="6"/>
  <c r="K48" i="6"/>
  <c r="M48" i="6" s="1"/>
  <c r="C57" i="6"/>
  <c r="F57" i="6"/>
  <c r="D57" i="6"/>
  <c r="L57" i="6"/>
  <c r="H57" i="6"/>
  <c r="N57" i="6"/>
  <c r="O57" i="6" s="1"/>
  <c r="E57" i="6"/>
  <c r="J57" i="6"/>
  <c r="Q57" i="6"/>
  <c r="K57" i="6"/>
  <c r="M57" i="6" s="1"/>
  <c r="G57" i="6"/>
  <c r="P57" i="6"/>
  <c r="I57" i="6"/>
  <c r="F17" i="6"/>
  <c r="H17" i="6"/>
  <c r="N17" i="6"/>
  <c r="O17" i="6" s="1"/>
  <c r="K17" i="6"/>
  <c r="M17" i="6" s="1"/>
  <c r="L17" i="6"/>
  <c r="P17" i="6"/>
  <c r="D17" i="6"/>
  <c r="G17" i="6"/>
  <c r="I17" i="6"/>
  <c r="E17" i="6"/>
  <c r="J17" i="6"/>
  <c r="Q17" i="6"/>
  <c r="C17" i="6"/>
  <c r="G26" i="6"/>
  <c r="H26" i="6"/>
  <c r="Q26" i="6"/>
  <c r="I26" i="6"/>
  <c r="D26" i="6"/>
  <c r="F26" i="6"/>
  <c r="C26" i="6"/>
  <c r="L26" i="6"/>
  <c r="J26" i="6"/>
  <c r="K26" i="6"/>
  <c r="M26" i="6" s="1"/>
  <c r="E26" i="6"/>
  <c r="P26" i="6"/>
  <c r="N26" i="6"/>
  <c r="O26" i="6" s="1"/>
  <c r="P35" i="6"/>
  <c r="F35" i="6"/>
  <c r="N35" i="6"/>
  <c r="O35" i="6" s="1"/>
  <c r="H35" i="6"/>
  <c r="C35" i="6"/>
  <c r="I35" i="6"/>
  <c r="K35" i="6"/>
  <c r="M35" i="6" s="1"/>
  <c r="Q35" i="6"/>
  <c r="L35" i="6"/>
  <c r="E35" i="6"/>
  <c r="J35" i="6"/>
  <c r="D35" i="6"/>
  <c r="G35" i="6"/>
  <c r="G44" i="6"/>
  <c r="D44" i="6"/>
  <c r="J44" i="6"/>
  <c r="Q44" i="6"/>
  <c r="P44" i="6"/>
  <c r="I44" i="6"/>
  <c r="E44" i="6"/>
  <c r="K44" i="6"/>
  <c r="M44" i="6" s="1"/>
  <c r="F44" i="6"/>
  <c r="H44" i="6"/>
  <c r="N44" i="6"/>
  <c r="O44" i="6" s="1"/>
  <c r="L44" i="6"/>
  <c r="C44" i="6"/>
  <c r="P21" i="6"/>
  <c r="N21" i="6"/>
  <c r="O21" i="6" s="1"/>
  <c r="C21" i="6"/>
  <c r="H21" i="6"/>
  <c r="I21" i="6"/>
  <c r="Q21" i="6"/>
  <c r="K21" i="6"/>
  <c r="M21" i="6" s="1"/>
  <c r="L21" i="6"/>
  <c r="J21" i="6"/>
  <c r="E21" i="6"/>
  <c r="G21" i="6"/>
  <c r="D21" i="6"/>
  <c r="F21" i="6"/>
  <c r="I103" i="6"/>
  <c r="E103" i="6"/>
  <c r="C103" i="6"/>
  <c r="D103" i="6"/>
  <c r="L103" i="6"/>
  <c r="H103" i="6"/>
  <c r="J103" i="6"/>
  <c r="N103" i="6"/>
  <c r="O103" i="6" s="1"/>
  <c r="P103" i="6"/>
  <c r="G103" i="6"/>
  <c r="K103" i="6"/>
  <c r="M103" i="6" s="1"/>
  <c r="Q103" i="6"/>
  <c r="F103" i="6"/>
  <c r="E81" i="6"/>
  <c r="G81" i="6"/>
  <c r="K81" i="6"/>
  <c r="M81" i="6" s="1"/>
  <c r="Q81" i="6"/>
  <c r="J81" i="6"/>
  <c r="D81" i="6"/>
  <c r="N81" i="6"/>
  <c r="O81" i="6" s="1"/>
  <c r="H81" i="6"/>
  <c r="F81" i="6"/>
  <c r="I81" i="6"/>
  <c r="C81" i="6"/>
  <c r="P81" i="6"/>
  <c r="L81" i="6"/>
  <c r="Q89" i="6"/>
  <c r="D89" i="6"/>
  <c r="L89" i="6"/>
  <c r="C89" i="6"/>
  <c r="F89" i="6"/>
  <c r="H89" i="6"/>
  <c r="N89" i="6"/>
  <c r="O89" i="6" s="1"/>
  <c r="P89" i="6"/>
  <c r="E89" i="6"/>
  <c r="I89" i="6"/>
  <c r="K89" i="6"/>
  <c r="M89" i="6" s="1"/>
  <c r="J89" i="6"/>
  <c r="G89" i="6"/>
  <c r="P13" i="6"/>
  <c r="I13" i="6"/>
  <c r="J13" i="6"/>
  <c r="Q13" i="6"/>
  <c r="G13" i="6"/>
  <c r="F13" i="6"/>
  <c r="D13" i="6"/>
  <c r="C13" i="6"/>
  <c r="H13" i="6"/>
  <c r="N13" i="6"/>
  <c r="O13" i="6" s="1"/>
  <c r="K13" i="6"/>
  <c r="M13" i="6" s="1"/>
  <c r="L13" i="6"/>
  <c r="E13" i="6"/>
  <c r="I97" i="6"/>
  <c r="Q97" i="6"/>
  <c r="C97" i="6"/>
  <c r="G97" i="6"/>
  <c r="J97" i="6"/>
  <c r="D97" i="6"/>
  <c r="L97" i="6"/>
  <c r="F97" i="6"/>
  <c r="P97" i="6"/>
  <c r="E97" i="6"/>
  <c r="N97" i="6"/>
  <c r="O97" i="6" s="1"/>
  <c r="H97" i="6"/>
  <c r="K97" i="6"/>
  <c r="M97" i="6" s="1"/>
  <c r="F104" i="6"/>
  <c r="L104" i="6"/>
  <c r="P104" i="6"/>
  <c r="E104" i="6"/>
  <c r="C104" i="6"/>
  <c r="K104" i="6"/>
  <c r="M104" i="6" s="1"/>
  <c r="J104" i="6"/>
  <c r="H104" i="6"/>
  <c r="G104" i="6"/>
  <c r="N104" i="6"/>
  <c r="O104" i="6" s="1"/>
  <c r="I104" i="6"/>
  <c r="Q104" i="6"/>
  <c r="D104" i="6"/>
  <c r="P94" i="6"/>
  <c r="C94" i="6"/>
  <c r="I94" i="6"/>
  <c r="H94" i="6"/>
  <c r="Q94" i="6"/>
  <c r="F94" i="6"/>
  <c r="J94" i="6"/>
  <c r="D94" i="6"/>
  <c r="E94" i="6"/>
  <c r="L94" i="6"/>
  <c r="N94" i="6"/>
  <c r="O94" i="6" s="1"/>
  <c r="K94" i="6"/>
  <c r="M94" i="6" s="1"/>
  <c r="G94" i="6"/>
  <c r="J11" i="6" l="1"/>
</calcChain>
</file>

<file path=xl/sharedStrings.xml><?xml version="1.0" encoding="utf-8"?>
<sst xmlns="http://schemas.openxmlformats.org/spreadsheetml/2006/main" count="1322" uniqueCount="837">
  <si>
    <t>Connected workbook: methodology &gt; appetite &gt; risk register &gt; breach monitor &gt; treatment tracker &gt; dashboard</t>
  </si>
  <si>
    <t>PURPOSE</t>
  </si>
  <si>
    <t>A connected ERM workbook covering all twelve Enterprise Risk Management resources in the GRC library, plus snapshot history and an audit trail. An analyst can use it through a real engagement: define the scoring method, set approved appetite and tolerance, score risks, detect breaches, escalate, record acceptances, monitor indicators and emerging risks, quantify scenarios, find concentrations, keep history and report. Everything is formula-driven and works offline.</t>
  </si>
  <si>
    <t>HOW THE SHEETS CONNECT</t>
  </si>
  <si>
    <t>FOUNDATION (P1): Methodology (scales, bands, control reductions, escalation, as-of date) &gt; Appetite (threshold and tolerance per category) &gt; Risk Register (scores inherent and residual risk, sets breach and governance status) &gt; Breach Monitor (auto-lists breaches and required escalation) &gt; Treatment Tracker (actions, overdue flags) &gt; Dashboard.</t>
  </si>
  <si>
    <t>P2: Risk Acceptance Register (formal decisions; feeds the Register's governance status and checks approver authority), KRI Tracker (leading indicators with RAG, trend and early warning), Risk-Control Matrix with RCM Summary (links risks to controls and tests the control effectiveness assumed in the Register), Emerging Risk Register (horizon scanning with velocity-weighted priority).</t>
  </si>
  <si>
    <t>P3: Scenario Analysis (indicative loss scenarios with documented basis and confidence) and Risk Aggregation with Aggregation Map (concentration screening).</t>
  </si>
  <si>
    <t>HISTORY: Snapshot Capture (live view with control totals) &gt; Snapshot History (pasted values) &gt; Snapshot Trends (trends, reconciliation, like-for-like movement vs changes in register composition). Change Log is a VOLUNTARY record, not a tamper-resistant audit trail. Exception Register holds the authorised exceptions that may offset integrity-check issues.</t>
  </si>
  <si>
    <t>KEY DEFINITIONS</t>
  </si>
  <si>
    <t>Appetite breach: residual score is above the category's appetite threshold. Tolerance breach: residual score is above the category's tolerance limit (a harder ceiling).</t>
  </si>
  <si>
    <t>Formal acceptance is recorded only on the Risk Acceptance Register. Accepting a risk NEVER removes the breach: Breach Status stays as calculated, and Governance Status shows 'Breach - formally accepted'. If the acceptance expires or has no expiry date, the breach reappears as open. Acceptances are checked against the authority level required for the breach.</t>
  </si>
  <si>
    <t>Residual risk: the authoritative residual score comes ONLY from an evidence-supported assessment (assessed likelihood and impact, evidence reference, assessor, approver and date within the validity period). Without one, the risk is scored on its inherent values: a control-effectiveness label alone earns no reduction. The control-reduction formula is kept as an indicative reference score only.</t>
  </si>
  <si>
    <t>LIMITATIONS (READ BEFORE USE)</t>
  </si>
  <si>
    <t>Risk scores are ordinal (1-25). They rank risks; they are not measurements and must not be added up as money. Scenario Analysis figures (frequency, loss ranges, treatment reductions) are analyst judgements with stated uncertainty, are indicative screening estimates, and are NOT financial forecasts. Risk Aggregation totals are a concentration screening index: a risk linked to several drivers counts in each, and no correlation or portfolio-loss modelling is done.</t>
  </si>
  <si>
    <t>Snapshots are taken manually (Paste Special &gt; Values) using the strict procedure on Snapshot Capture, and each must be reconciled against three control totals. Even so, there is no macro and no automatic timestamp, so history and the Change Log are only as trustworthy as the discipline of never editing past rows. They are voluntary records, not tamper-resistant: for assurance use file version control, protected sheets and access controls outside this workbook.</t>
  </si>
  <si>
    <t>COLOUR LEGEND</t>
  </si>
  <si>
    <t>Blue text on cream fill = cells you edit.  Black on grey = formulas, do not overwrite.  Navy = headers.</t>
  </si>
  <si>
    <t>GETTING STARTED</t>
  </si>
  <si>
    <t>ASSUMPTIONS</t>
  </si>
  <si>
    <t>All scales, bands (Low 1-4, Medium 5-9, High 10-16, Critical 17-25), control reductions (Strong 50%, Adequate 30%, Weak 10%, None 0%), velocity multipliers, appetite thresholds, escalation timeframes, loss tolerances, concentration thresholds and the 30-day snapshot frequency are illustrative defaults, not a mandated standard. Align them to your own risk policy. Sample data is fictional.</t>
  </si>
  <si>
    <t>Capacity: 100 risks, 100 acceptances, 100 treatment actions, 60 KRIs, 150 risk-control mappings, 60 emerging risks, 50 scenarios, 20 drivers, 200 aggregation links, 1,000 snapshot rows, 500 change-log entries, 12 categories. Heatmap colours use the default bands. The as-of date defaults to TODAY(); overwrite Methodology!B4 with a fixed date to reproduce a past report.</t>
  </si>
  <si>
    <t>Enterprise Risk Dashboard</t>
  </si>
  <si>
    <t>Headline metrics</t>
  </si>
  <si>
    <t>Residual heatmap (number of risks)</t>
  </si>
  <si>
    <t>Total risks on register</t>
  </si>
  <si>
    <t>Likelihood \ Impact</t>
  </si>
  <si>
    <t>Average inherent score</t>
  </si>
  <si>
    <t>Average residual score</t>
  </si>
  <si>
    <t>Residual High or Critical risks</t>
  </si>
  <si>
    <t>Risks in breach of appetite (all)</t>
  </si>
  <si>
    <t xml:space="preserve">   of which tolerance breaches</t>
  </si>
  <si>
    <t>Breaches not accepted</t>
  </si>
  <si>
    <t>Colours follow the default rating bands.</t>
  </si>
  <si>
    <t>Breaches formally accepted</t>
  </si>
  <si>
    <t>Acceptances expired (breach reopened)</t>
  </si>
  <si>
    <t>Rating distribution</t>
  </si>
  <si>
    <t>Acceptances with no expiry date</t>
  </si>
  <si>
    <t>Rating</t>
  </si>
  <si>
    <t>Inherent</t>
  </si>
  <si>
    <t>Residual</t>
  </si>
  <si>
    <t>Breaches with no action and no valid acceptance</t>
  </si>
  <si>
    <t>Open treatment actions</t>
  </si>
  <si>
    <t>Overdue treatment actions</t>
  </si>
  <si>
    <t>Actions due soon</t>
  </si>
  <si>
    <t>Risk reviews overdue</t>
  </si>
  <si>
    <t>Residual risks above target score</t>
  </si>
  <si>
    <t>Acceptances expiring soon</t>
  </si>
  <si>
    <t>Acceptances with insufficient approval authority</t>
  </si>
  <si>
    <t>KRIs in red</t>
  </si>
  <si>
    <t>Emerging risks flagged for escalation</t>
  </si>
  <si>
    <t>Indicative total ALE (GBP, not a forecast)</t>
  </si>
  <si>
    <t>Concentration-flagged drivers (screening index)</t>
  </si>
  <si>
    <t>Days since last snapshot</t>
  </si>
  <si>
    <t>Risks scored on inherent basis (no valid residual assessment)</t>
  </si>
  <si>
    <t>Risk by category</t>
  </si>
  <si>
    <t>Category</t>
  </si>
  <si>
    <t>Risks</t>
  </si>
  <si>
    <t>Avg residual score</t>
  </si>
  <si>
    <t>Appetite threshold</t>
  </si>
  <si>
    <t>Appetite breaches</t>
  </si>
  <si>
    <t>Tolerance breaches</t>
  </si>
  <si>
    <t>Risk Assessment Methodology</t>
  </si>
  <si>
    <t>Scales, bands, control effectiveness and escalation rules. Blue cells are editable.</t>
  </si>
  <si>
    <t>Residual assessment validity (days)</t>
  </si>
  <si>
    <t>An evidence-supported residual assessment older than this is treated as expired.</t>
  </si>
  <si>
    <t>As-of date</t>
  </si>
  <si>
    <t>Defaults to today. Overwrite with a fixed date to reproduce a past report.</t>
  </si>
  <si>
    <t>Due-soon window (days)</t>
  </si>
  <si>
    <t>Actions due within this many days are flagged 'Due soon'.</t>
  </si>
  <si>
    <t>Max acceptance period (days)</t>
  </si>
  <si>
    <t>Acceptances longer than this are flagged on the Risk Acceptance Register.</t>
  </si>
  <si>
    <t>Snapshot frequency (days)</t>
  </si>
  <si>
    <t>Dashboard flags when the latest snapshot is older than this.</t>
  </si>
  <si>
    <t>Likelihood scale</t>
  </si>
  <si>
    <t>Score</t>
  </si>
  <si>
    <t>Level</t>
  </si>
  <si>
    <t>Descriptor</t>
  </si>
  <si>
    <t>Indicative frequency</t>
  </si>
  <si>
    <t>Rare</t>
  </si>
  <si>
    <t>Would occur only in exceptional circumstances</t>
  </si>
  <si>
    <t>Less than once in 10 years</t>
  </si>
  <si>
    <t>Unlikely</t>
  </si>
  <si>
    <t>Could occur but not expected</t>
  </si>
  <si>
    <t>Once in 5-10 years</t>
  </si>
  <si>
    <t>Possible</t>
  </si>
  <si>
    <t>Might occur at some point</t>
  </si>
  <si>
    <t>Once in 2-5 years</t>
  </si>
  <si>
    <t>Likely</t>
  </si>
  <si>
    <t>Will probably occur</t>
  </si>
  <si>
    <t>About once a year</t>
  </si>
  <si>
    <t>Almost certain</t>
  </si>
  <si>
    <t>Expected to occur, possibly repeatedly</t>
  </si>
  <si>
    <t>Several times a year</t>
  </si>
  <si>
    <t>Impact scale</t>
  </si>
  <si>
    <t>Financial</t>
  </si>
  <si>
    <t>Operational</t>
  </si>
  <si>
    <t>Regulatory / legal</t>
  </si>
  <si>
    <t>Reputational</t>
  </si>
  <si>
    <t>Negligible</t>
  </si>
  <si>
    <t>Under 1% of annual budget</t>
  </si>
  <si>
    <t>Disruption under 1 hour</t>
  </si>
  <si>
    <t>No regulatory interest</t>
  </si>
  <si>
    <t>No external awareness</t>
  </si>
  <si>
    <t>Minor</t>
  </si>
  <si>
    <t>1-2% of annual budget</t>
  </si>
  <si>
    <t>Disruption up to 1 working day</t>
  </si>
  <si>
    <t>Minor internal breach, no reporting</t>
  </si>
  <si>
    <t>Limited local awareness</t>
  </si>
  <si>
    <t>Moderate</t>
  </si>
  <si>
    <t>2-5% of annual budget</t>
  </si>
  <si>
    <t>Disruption of 1-3 days</t>
  </si>
  <si>
    <t>Reportable breach, informal regulator contact</t>
  </si>
  <si>
    <t>Adverse local or sector media</t>
  </si>
  <si>
    <t>Major</t>
  </si>
  <si>
    <t>5-10% of annual budget</t>
  </si>
  <si>
    <t>Disruption of 3-7 days</t>
  </si>
  <si>
    <t>Formal investigation or enforcement notice</t>
  </si>
  <si>
    <t>National adverse coverage, customer loss</t>
  </si>
  <si>
    <t>Severe</t>
  </si>
  <si>
    <t>Over 10% of annual budget</t>
  </si>
  <si>
    <t>Disruption over 7 days or loss of critical service</t>
  </si>
  <si>
    <t>Fine, licence loss or prosecution</t>
  </si>
  <si>
    <t>Sustained loss of public trust</t>
  </si>
  <si>
    <t>Rating bands (score = likelihood x impact)</t>
  </si>
  <si>
    <t>Min score</t>
  </si>
  <si>
    <t>Max score</t>
  </si>
  <si>
    <t>Required response</t>
  </si>
  <si>
    <t>Low</t>
  </si>
  <si>
    <t>Accept and monitor through routine review</t>
  </si>
  <si>
    <t>Medium</t>
  </si>
  <si>
    <t>Manage within business-as-usual controls; owner review quarterly</t>
  </si>
  <si>
    <t>High</t>
  </si>
  <si>
    <t>Treatment plan required; senior management oversight</t>
  </si>
  <si>
    <t>Critical</t>
  </si>
  <si>
    <t>Immediate action; executive attention and escalation</t>
  </si>
  <si>
    <t>Score matrix</t>
  </si>
  <si>
    <t>Control effectiveness: INDICATIVE reference only (does not set authoritative residual risk)</t>
  </si>
  <si>
    <t>Likelihood reduction</t>
  </si>
  <si>
    <t>Description</t>
  </si>
  <si>
    <t>Strong</t>
  </si>
  <si>
    <t>Controls designed and operating effectively, tested with evidence</t>
  </si>
  <si>
    <t>Adequate</t>
  </si>
  <si>
    <t>Controls in place and mostly effective, minor gaps</t>
  </si>
  <si>
    <t>Weak</t>
  </si>
  <si>
    <t>Controls exist but are poorly designed or inconsistently operated</t>
  </si>
  <si>
    <t>None</t>
  </si>
  <si>
    <t>No effective controls</t>
  </si>
  <si>
    <t>Escalation rules</t>
  </si>
  <si>
    <t>Breach status</t>
  </si>
  <si>
    <t>Escalate to</t>
  </si>
  <si>
    <t>Respond within (days)</t>
  </si>
  <si>
    <t>Governance expectation</t>
  </si>
  <si>
    <t>Within appetite</t>
  </si>
  <si>
    <t>No escalation</t>
  </si>
  <si>
    <t>Monitor through routine review</t>
  </si>
  <si>
    <t>Appetite breach</t>
  </si>
  <si>
    <t>Head of Risk / CISO</t>
  </si>
  <si>
    <t>Treatment plan or formal acceptance with expiry</t>
  </si>
  <si>
    <t>Tolerance breach</t>
  </si>
  <si>
    <t>Executive Committee / Board</t>
  </si>
  <si>
    <t>Immediate treatment; acceptance only at executive level</t>
  </si>
  <si>
    <t>Emerging risk velocity multipliers</t>
  </si>
  <si>
    <t>Velocity</t>
  </si>
  <si>
    <t>Multiplier</t>
  </si>
  <si>
    <t>Meaning</t>
  </si>
  <si>
    <t>Slow</t>
  </si>
  <si>
    <t>Years to materialise; time to respond</t>
  </si>
  <si>
    <t>Months to materialise</t>
  </si>
  <si>
    <t>Fast</t>
  </si>
  <si>
    <t>Weeks to materialise</t>
  </si>
  <si>
    <t>Immediate</t>
  </si>
  <si>
    <t>Little or no warning</t>
  </si>
  <si>
    <t>Authoritative residual risk: requirements</t>
  </si>
  <si>
    <t>A residual score is authoritative only when the Register holds assessed residual likelihood and impact PLUS an evidence reference, an assessor, an approver and an assessment date within the validity period above.</t>
  </si>
  <si>
    <t>Otherwise the risk is scored on its INHERENT likelihood and impact: a control-effectiveness label alone earns no score reduction.</t>
  </si>
  <si>
    <t>The calculated indicative residual (control reduction table above) is shown for reference only, so analysts can compare their evidence-based judgement against a simple formula.</t>
  </si>
  <si>
    <t>Evidence examples: control test results, audit reports, incident and KRI data, supplier assurance outcomes. Record where the evidence is held, not the evidence itself.</t>
  </si>
  <si>
    <t>Risk Appetite &amp; Tolerance Matrix</t>
  </si>
  <si>
    <t>Appetite threshold = maximum acceptable residual score. Tolerance limit = hard ceiling. Scores are on the Methodology 1-25 scale.</t>
  </si>
  <si>
    <t>Risk category</t>
  </si>
  <si>
    <t>Appetite level</t>
  </si>
  <si>
    <t>Appetite threshold (score)</t>
  </si>
  <si>
    <t>Tolerance limit (score)</t>
  </si>
  <si>
    <t>Appetite statement</t>
  </si>
  <si>
    <t>Approved by</t>
  </si>
  <si>
    <t>Approval date</t>
  </si>
  <si>
    <t>Next review</t>
  </si>
  <si>
    <t>Validity check</t>
  </si>
  <si>
    <t>Threshold version</t>
  </si>
  <si>
    <t>Effective from</t>
  </si>
  <si>
    <t>Strategic</t>
  </si>
  <si>
    <t>Open</t>
  </si>
  <si>
    <t>Willing to take risk in pursuit of strategic growth, within tolerance.</t>
  </si>
  <si>
    <t>Risk Committee</t>
  </si>
  <si>
    <t>v1.0</t>
  </si>
  <si>
    <t>Cautious</t>
  </si>
  <si>
    <t>Prefers resilient operations; accepts limited disruption risk.</t>
  </si>
  <si>
    <t>Cyber &amp; Information Security</t>
  </si>
  <si>
    <t>Minimal</t>
  </si>
  <si>
    <t>Low tolerance for threats to confidentiality, integrity or availability.</t>
  </si>
  <si>
    <t>Compliance &amp; Regulatory</t>
  </si>
  <si>
    <t>Averse</t>
  </si>
  <si>
    <t>Very low tolerance for regulatory or legal non-compliance.</t>
  </si>
  <si>
    <t>Accepts modest financial volatility with active monitoring.</t>
  </si>
  <si>
    <t>Third-Party</t>
  </si>
  <si>
    <t>Accepts supplier risk where assurance and exit plans exist.</t>
  </si>
  <si>
    <t>Technology</t>
  </si>
  <si>
    <t>Accepts limited technical-debt risk with funded remediation.</t>
  </si>
  <si>
    <t>Data Privacy</t>
  </si>
  <si>
    <t>Low tolerance for unauthorised use or exposure of personal data.</t>
  </si>
  <si>
    <t>People</t>
  </si>
  <si>
    <t>Accepts limited workforce and key-person risk with succession plans.</t>
  </si>
  <si>
    <t>Assumption: thresholds above are illustrative. Replace with limits approved by your board or risk committee. Provide up to 12 categories; the Register category dropdown reads this list.</t>
  </si>
  <si>
    <t>Cyber &amp; Enterprise Risk Register</t>
  </si>
  <si>
    <t>Blue = inputs. Residual risk is AUTHORITATIVE only with an evidence-supported assessment (cols K-L plus AE-AH); otherwise inherent scores apply. Rows 6-13 are SAMPLE.</t>
  </si>
  <si>
    <t>RISK IDENTIFICATION</t>
  </si>
  <si>
    <t>INHERENT RISK</t>
  </si>
  <si>
    <t>CONTROLS &amp; RESIDUAL RISK</t>
  </si>
  <si>
    <t>TARGET</t>
  </si>
  <si>
    <t>APPETITE TEST</t>
  </si>
  <si>
    <t>ACCEPTANCE &amp; GOVERNANCE</t>
  </si>
  <si>
    <t>REVIEW</t>
  </si>
  <si>
    <t>HELPERS (do not edit)</t>
  </si>
  <si>
    <t>RESIDUAL ASSESSMENT EVIDENCE (required for an authoritative residual)</t>
  </si>
  <si>
    <t>Risk ID</t>
  </si>
  <si>
    <t>Risk title</t>
  </si>
  <si>
    <t>Description (cause &gt; event &gt; consequence)</t>
  </si>
  <si>
    <t>Risk owner</t>
  </si>
  <si>
    <t>Inherent likelihood (1-5)</t>
  </si>
  <si>
    <t>Inherent impact (1-5)</t>
  </si>
  <si>
    <t>Inherent score</t>
  </si>
  <si>
    <t>Inherent rating</t>
  </si>
  <si>
    <t>Control effectiveness (indicative only)</t>
  </si>
  <si>
    <t>Assessed residual likelihood (evidence-based)</t>
  </si>
  <si>
    <t>Assessed residual impact (evidence-based)</t>
  </si>
  <si>
    <t>Residual likelihood used</t>
  </si>
  <si>
    <t>Residual impact used</t>
  </si>
  <si>
    <t>Residual score (authoritative)</t>
  </si>
  <si>
    <t>Residual rating</t>
  </si>
  <si>
    <t>Target score</t>
  </si>
  <si>
    <t>Gap to target</t>
  </si>
  <si>
    <t>Tolerance limit</t>
  </si>
  <si>
    <t>Formally accepted? (auto)</t>
  </si>
  <si>
    <t>Accepted by (auto)</t>
  </si>
  <si>
    <t>Acceptance expiry (auto)</t>
  </si>
  <si>
    <t>Governance status</t>
  </si>
  <si>
    <t>Next review date</t>
  </si>
  <si>
    <t>Review status</t>
  </si>
  <si>
    <t>Breach seq</t>
  </si>
  <si>
    <t>Open actions</t>
  </si>
  <si>
    <t>Treatment gap</t>
  </si>
  <si>
    <t>Evidence reference</t>
  </si>
  <si>
    <t>Assessed by</t>
  </si>
  <si>
    <t>Assessment date</t>
  </si>
  <si>
    <t>Assessment approved by</t>
  </si>
  <si>
    <t>Assessment status</t>
  </si>
  <si>
    <t>Indicative residual score (calculated, reference only)</t>
  </si>
  <si>
    <t>Residual basis</t>
  </si>
  <si>
    <t>R-001</t>
  </si>
  <si>
    <t>Ransomware on production</t>
  </si>
  <si>
    <t>Phishing leads to credential theft, ransomware spreads and encrypts tier-1 systems, halting trading.</t>
  </si>
  <si>
    <t>CISO</t>
  </si>
  <si>
    <t>EV-001 control test report CT-2026-14</t>
  </si>
  <si>
    <t>Security Analyst</t>
  </si>
  <si>
    <t>R-002</t>
  </si>
  <si>
    <t>SaaS provider data breach</t>
  </si>
  <si>
    <t>Weak supplier security leads to breach at the payroll SaaS provider, exposing employee data.</t>
  </si>
  <si>
    <t>Head of Procurement</t>
  </si>
  <si>
    <t>EV-002 supplier assurance review 2026-Q3</t>
  </si>
  <si>
    <t>Procurement Analyst</t>
  </si>
  <si>
    <t>R-003</t>
  </si>
  <si>
    <t>Sensitive data pasted into AI tools</t>
  </si>
  <si>
    <t>Staff use unapproved AI services, leaking customer data outside approved boundaries.</t>
  </si>
  <si>
    <t>DPO</t>
  </si>
  <si>
    <t>EV-003 DLP pilot results</t>
  </si>
  <si>
    <t>R-004</t>
  </si>
  <si>
    <t>Missed regulatory deadlines</t>
  </si>
  <si>
    <t>Manual tracking leads to late regulatory submissions and supervisory action.</t>
  </si>
  <si>
    <t>Head of Compliance</t>
  </si>
  <si>
    <t>EV-004 compliance calendar test 2026-08</t>
  </si>
  <si>
    <t>Compliance Analyst</t>
  </si>
  <si>
    <t>R-005</t>
  </si>
  <si>
    <t>Key-person dependency</t>
  </si>
  <si>
    <t>Two engineers hold sole knowledge of the platform; departure disrupts delivery.</t>
  </si>
  <si>
    <t>CTO</t>
  </si>
  <si>
    <t>EV-005 succession plan review</t>
  </si>
  <si>
    <t>HR Business Partner</t>
  </si>
  <si>
    <t>R-006</t>
  </si>
  <si>
    <t>Legacy ERP out of support</t>
  </si>
  <si>
    <t>Vendor ends support; unpatched flaws and failures disrupt finance operations.</t>
  </si>
  <si>
    <t>CIO</t>
  </si>
  <si>
    <t>EV-006 vendor end-of-support notice</t>
  </si>
  <si>
    <t>IT Architect</t>
  </si>
  <si>
    <t>R-007</t>
  </si>
  <si>
    <t>Supplier price inflation</t>
  </si>
  <si>
    <t>Input cost rises erode margin faster than pricing can adjust.</t>
  </si>
  <si>
    <t>CFO</t>
  </si>
  <si>
    <t>EV-007 pricing review 2025</t>
  </si>
  <si>
    <t>Finance Analyst</t>
  </si>
  <si>
    <t>R-008</t>
  </si>
  <si>
    <t>Loss of anchor customer</t>
  </si>
  <si>
    <t>Largest customer does not renew, removing 18% of revenue.</t>
  </si>
  <si>
    <t>CEO</t>
  </si>
  <si>
    <t>Risk Appetite Breach Monitor</t>
  </si>
  <si>
    <t>Automatically lists every risk whose residual score exceeds appetite. Acceptance never hides a breach: it changes the governance status only. No data entry here.</t>
  </si>
  <si>
    <t>Total breaches</t>
  </si>
  <si>
    <t>Not accepted</t>
  </si>
  <si>
    <t>Formally accepted</t>
  </si>
  <si>
    <t>Acceptance expired</t>
  </si>
  <si>
    <t>Expiry not set</t>
  </si>
  <si>
    <t>Treatment gaps</t>
  </si>
  <si>
    <t>#</t>
  </si>
  <si>
    <t>Register row</t>
  </si>
  <si>
    <t>Residual score</t>
  </si>
  <si>
    <t>Excess over appetite</t>
  </si>
  <si>
    <t>Acceptance expiry</t>
  </si>
  <si>
    <t>Days to expiry</t>
  </si>
  <si>
    <t>Required next action</t>
  </si>
  <si>
    <t>Risk Treatment Tracker</t>
  </si>
  <si>
    <t>One row per mitigation action, linked to a Risk ID. Capacity: 100 actions. Rows 6-10 are SAMPLE data.</t>
  </si>
  <si>
    <t>Action ID</t>
  </si>
  <si>
    <t>Action description</t>
  </si>
  <si>
    <t>Action owner</t>
  </si>
  <si>
    <t>Start date</t>
  </si>
  <si>
    <t>Due date</t>
  </si>
  <si>
    <t>Status</t>
  </si>
  <si>
    <t>% complete</t>
  </si>
  <si>
    <t>Completion date</t>
  </si>
  <si>
    <t>Days overdue</t>
  </si>
  <si>
    <t>Action flag</t>
  </si>
  <si>
    <t>Expected residual score after action</t>
  </si>
  <si>
    <t>Residual score now</t>
  </si>
  <si>
    <t>Expected reduction</t>
  </si>
  <si>
    <t>Notes</t>
  </si>
  <si>
    <t>A-001</t>
  </si>
  <si>
    <t>Deploy immutable offline backups for tier-1 systems</t>
  </si>
  <si>
    <t>IT Operations</t>
  </si>
  <si>
    <t>In progress</t>
  </si>
  <si>
    <t>Quarterly restore test planned</t>
  </si>
  <si>
    <t>A-002</t>
  </si>
  <si>
    <t>Extend EDR to remaining endpoints</t>
  </si>
  <si>
    <t>Delayed by device procurement</t>
  </si>
  <si>
    <t>A-003</t>
  </si>
  <si>
    <t>Automate regulatory calendar with escalation alerts</t>
  </si>
  <si>
    <t>Not started</t>
  </si>
  <si>
    <t>A-004</t>
  </si>
  <si>
    <t>Approve business case for ERP replacement</t>
  </si>
  <si>
    <t>A-005</t>
  </si>
  <si>
    <t>Cross-train two engineers on platform operations</t>
  </si>
  <si>
    <t>Completed</t>
  </si>
  <si>
    <t>Risk Acceptance Register</t>
  </si>
  <si>
    <t>Formal decisions to accept a risk above appetite. Accepting never removes the breach: the Risk Register keeps the breach status and shows the governance status. Rows 6-9 are SAMPLE data.</t>
  </si>
  <si>
    <t>Acceptance ID</t>
  </si>
  <si>
    <t>Current residual score</t>
  </si>
  <si>
    <t>Current breach status</t>
  </si>
  <si>
    <t>Rationale for acceptance</t>
  </si>
  <si>
    <t>Conditions / compensating measures</t>
  </si>
  <si>
    <t>Decision</t>
  </si>
  <si>
    <t>Approver name</t>
  </si>
  <si>
    <t>Approver authority level</t>
  </si>
  <si>
    <t>Decision date</t>
  </si>
  <si>
    <t>Expiry date</t>
  </si>
  <si>
    <t>Authority required</t>
  </si>
  <si>
    <t>Authority check</t>
  </si>
  <si>
    <t>Acceptance status</t>
  </si>
  <si>
    <t>Flags</t>
  </si>
  <si>
    <t>AC-001</t>
  </si>
  <si>
    <t>Supplier migration planned; interim monitoring in place.</t>
  </si>
  <si>
    <t>Quarterly assurance review; exit plan drafted.</t>
  </si>
  <si>
    <t>Approved</t>
  </si>
  <si>
    <t>AC-002</t>
  </si>
  <si>
    <t>Business needs AI productivity tools while DLP is deployed.</t>
  </si>
  <si>
    <t>Approved tools list only; DLP rollout by Q1.</t>
  </si>
  <si>
    <t>AC-003</t>
  </si>
  <si>
    <t>Replacement funded in next financial year budget.</t>
  </si>
  <si>
    <t>Extended vendor support contract in place.</t>
  </si>
  <si>
    <t>AC-004</t>
  </si>
  <si>
    <t>Awaiting delivery of regulatory calendar automation.</t>
  </si>
  <si>
    <t>Manual weekly check by compliance team.</t>
  </si>
  <si>
    <t>Pending</t>
  </si>
  <si>
    <t>Key Risk Indicator Tracker</t>
  </si>
  <si>
    <t>Track leading indicators against amber/red thresholds. Enter readings left to right with no gaps; when full, shift older readings out. Rows 6-11 are SAMPLE data.</t>
  </si>
  <si>
    <t>For 'Lower is worse' indicators set the red threshold below the amber threshold (e.g. amber 98, red 95).</t>
  </si>
  <si>
    <t>Period labels (edit):</t>
  </si>
  <si>
    <t>May-26</t>
  </si>
  <si>
    <t>Jun-26</t>
  </si>
  <si>
    <t>Jul-26</t>
  </si>
  <si>
    <t>Aug-26</t>
  </si>
  <si>
    <t>Sep-26</t>
  </si>
  <si>
    <t>Oct-26</t>
  </si>
  <si>
    <t>KRI ID</t>
  </si>
  <si>
    <t>Indicator</t>
  </si>
  <si>
    <t>Linked Risk ID</t>
  </si>
  <si>
    <t>Owner</t>
  </si>
  <si>
    <t>Unit</t>
  </si>
  <si>
    <t>Direction</t>
  </si>
  <si>
    <t>Amber threshold</t>
  </si>
  <si>
    <t>Red threshold</t>
  </si>
  <si>
    <t>Update frequency (days)</t>
  </si>
  <si>
    <t>Last updated</t>
  </si>
  <si>
    <t>Reading 1 (oldest)</t>
  </si>
  <si>
    <t>Reading 2</t>
  </si>
  <si>
    <t>Reading 3</t>
  </si>
  <si>
    <t>Reading 4</t>
  </si>
  <si>
    <t>Reading 5</t>
  </si>
  <si>
    <t>Reading 6 (latest)</t>
  </si>
  <si>
    <t>Latest reading</t>
  </si>
  <si>
    <t>Previous reading</t>
  </si>
  <si>
    <t>RAG status</t>
  </si>
  <si>
    <t>Trend</t>
  </si>
  <si>
    <t>Update status</t>
  </si>
  <si>
    <t>Linked risk status</t>
  </si>
  <si>
    <t>Early-warning flag</t>
  </si>
  <si>
    <t>K-001</t>
  </si>
  <si>
    <t>Phishing click rate</t>
  </si>
  <si>
    <t>Security Awareness Lead</t>
  </si>
  <si>
    <t>%</t>
  </si>
  <si>
    <t>Higher is worse</t>
  </si>
  <si>
    <t>K-002</t>
  </si>
  <si>
    <t>Critical vulnerabilities open beyond SLA</t>
  </si>
  <si>
    <t>Vulnerability Manager</t>
  </si>
  <si>
    <t>count</t>
  </si>
  <si>
    <t>K-003</t>
  </si>
  <si>
    <t>Suppliers with expired security assurance</t>
  </si>
  <si>
    <t>K-004</t>
  </si>
  <si>
    <t>Regulatory submissions filed on time</t>
  </si>
  <si>
    <t>Lower is worse</t>
  </si>
  <si>
    <t>K-005</t>
  </si>
  <si>
    <t>Voluntary turnover, platform team (annualised)</t>
  </si>
  <si>
    <t>K-006</t>
  </si>
  <si>
    <t>Revenue share of largest customer</t>
  </si>
  <si>
    <t>Risk &amp; Control Matrix</t>
  </si>
  <si>
    <t>One row per risk-control pairing (a control can support several risks; a risk can have several controls). Rows 6-12 are SAMPLE data.</t>
  </si>
  <si>
    <t>Mapping ID</t>
  </si>
  <si>
    <t>Control ID</t>
  </si>
  <si>
    <t>Control name</t>
  </si>
  <si>
    <t>Control type</t>
  </si>
  <si>
    <t>Control owner</t>
  </si>
  <si>
    <t>Design assessment</t>
  </si>
  <si>
    <t>Operating assessment</t>
  </si>
  <si>
    <t>Last tested</t>
  </si>
  <si>
    <t>Test frequency (days)</t>
  </si>
  <si>
    <t>Next test due</t>
  </si>
  <si>
    <t>Control rating</t>
  </si>
  <si>
    <t>Test status</t>
  </si>
  <si>
    <t>M-001</t>
  </si>
  <si>
    <t>C-01</t>
  </si>
  <si>
    <t>Endpoint detection and response</t>
  </si>
  <si>
    <t>Preventive</t>
  </si>
  <si>
    <t>Effective</t>
  </si>
  <si>
    <t>Partially effective</t>
  </si>
  <si>
    <t>85% endpoint coverage</t>
  </si>
  <si>
    <t>M-002</t>
  </si>
  <si>
    <t>C-02</t>
  </si>
  <si>
    <t>Offline immutable backups</t>
  </si>
  <si>
    <t>Corrective</t>
  </si>
  <si>
    <t>Not tested</t>
  </si>
  <si>
    <t>M-003</t>
  </si>
  <si>
    <t>C-03</t>
  </si>
  <si>
    <t>Email filtering and phishing training</t>
  </si>
  <si>
    <t>M-004</t>
  </si>
  <si>
    <t>C-10</t>
  </si>
  <si>
    <t>Supplier security assurance reviews</t>
  </si>
  <si>
    <t>Detective</t>
  </si>
  <si>
    <t>Ineffective</t>
  </si>
  <si>
    <t>Reviews not completed for 3 suppliers</t>
  </si>
  <si>
    <t>M-005</t>
  </si>
  <si>
    <t>C-30</t>
  </si>
  <si>
    <t>AI acceptable-use policy</t>
  </si>
  <si>
    <t>M-006</t>
  </si>
  <si>
    <t>C-20</t>
  </si>
  <si>
    <t>Regulatory submissions calendar</t>
  </si>
  <si>
    <t>M-007</t>
  </si>
  <si>
    <t>C-40</t>
  </si>
  <si>
    <t>Executive account management reviews</t>
  </si>
  <si>
    <t>Risk-Control Coverage Summary</t>
  </si>
  <si>
    <t>Calculated from the Risk &amp; Control Matrix. Compares the control effectiveness assumed in the Risk Register with what the control assessments support. No data entry.</t>
  </si>
  <si>
    <t>Suggested effectiveness: None = no mapped controls; Strong = all Effective; Adequate = (Effective + 0.5 x Partially effective) / controls is 50% or more; otherwise Weak. Illustrative rule: edit the formulas in column J to suit your policy.</t>
  </si>
  <si>
    <t>Mapped controls</t>
  </si>
  <si>
    <t>Overdue tests</t>
  </si>
  <si>
    <t>Suggested effectiveness</t>
  </si>
  <si>
    <t>Register effectiveness</t>
  </si>
  <si>
    <t>Alignment</t>
  </si>
  <si>
    <t>Coverage flag</t>
  </si>
  <si>
    <t>Emerging Risk Register</t>
  </si>
  <si>
    <t>Horizon-scanning log. Priority = impact x plausibility, weighted by velocity (Methodology sheet). High/Critical items are flagged for promotion to the Risk Register. Rows 6-10 are SAMPLE data.</t>
  </si>
  <si>
    <t>ID</t>
  </si>
  <si>
    <t>Emerging risk</t>
  </si>
  <si>
    <t>Source of signal</t>
  </si>
  <si>
    <t>Date identified</t>
  </si>
  <si>
    <t>Time horizon</t>
  </si>
  <si>
    <t>Potential impact (1-5)</t>
  </si>
  <si>
    <t>Plausibility (1-5)</t>
  </si>
  <si>
    <t>Base score</t>
  </si>
  <si>
    <t>Velocity multiplier</t>
  </si>
  <si>
    <t>Priority score</t>
  </si>
  <si>
    <t>Priority rating</t>
  </si>
  <si>
    <t>Early-warning trigger</t>
  </si>
  <si>
    <t>Promoted to Risk ID</t>
  </si>
  <si>
    <t>Recommendation</t>
  </si>
  <si>
    <t>E-001</t>
  </si>
  <si>
    <t>Quantum-capable adversaries break current encryption</t>
  </si>
  <si>
    <t>Cryptographic standards weaken faster than migration plans assume.</t>
  </si>
  <si>
    <t>National cyber agency horizon scan</t>
  </si>
  <si>
    <t>5+ years</t>
  </si>
  <si>
    <t>Watching</t>
  </si>
  <si>
    <t>Published standards deprecation dates</t>
  </si>
  <si>
    <t>E-002</t>
  </si>
  <si>
    <t>Autonomous AI agents misuse delegated credentials</t>
  </si>
  <si>
    <t>Agentic tools act on staff credentials beyond intended scope.</t>
  </si>
  <si>
    <t>Vendor roadmap review</t>
  </si>
  <si>
    <t>1-3 years</t>
  </si>
  <si>
    <t>Assessing</t>
  </si>
  <si>
    <t>First internal pilot of agent tooling</t>
  </si>
  <si>
    <t>E-003</t>
  </si>
  <si>
    <t>Operational resilience rules extended to critical suppliers</t>
  </si>
  <si>
    <t>New regulation could impose direct obligations and audit rights on suppliers.</t>
  </si>
  <si>
    <t>Regulator consultation paper</t>
  </si>
  <si>
    <t>Final rules published</t>
  </si>
  <si>
    <t>E-004</t>
  </si>
  <si>
    <t>Regional energy supply disruption</t>
  </si>
  <si>
    <t>Prolonged outages at the primary data centre region.</t>
  </si>
  <si>
    <t>Supplier briefing</t>
  </si>
  <si>
    <t>COO</t>
  </si>
  <si>
    <t>&lt;1 year</t>
  </si>
  <si>
    <t>Grid alert level raised</t>
  </si>
  <si>
    <t>E-005</t>
  </si>
  <si>
    <t>Deepfake-enabled payment fraud</t>
  </si>
  <si>
    <t>Synthetic voice or video used to authorise fraudulent transfers.</t>
  </si>
  <si>
    <t>Industry fraud bulletin</t>
  </si>
  <si>
    <t>Escalated to register</t>
  </si>
  <si>
    <t>Attempted fraud reported</t>
  </si>
  <si>
    <t>Risk Scenario Analysis Workbook</t>
  </si>
  <si>
    <t>SIMPLIFIED MODEL (PERT point estimates, independent scenarios, no distribution or correlation). Figures are indicative and uncertain, NOT financial forecasts. Rows 8-12 are SAMPLE. GBP.</t>
  </si>
  <si>
    <t>Annual loss tolerance (GBP)</t>
  </si>
  <si>
    <t>Indicative total ALE</t>
  </si>
  <si>
    <t>Indicative treated ALE</t>
  </si>
  <si>
    <t>Indicative ALE reduction</t>
  </si>
  <si>
    <t>Portfolio ALE vs annual tolerance</t>
  </si>
  <si>
    <t>Scenarios above single-event tolerance</t>
  </si>
  <si>
    <t>Single-event loss tolerance (GBP)</t>
  </si>
  <si>
    <t>Scenario ID</t>
  </si>
  <si>
    <t>Scenario</t>
  </si>
  <si>
    <t>Annual frequency (events/yr)</t>
  </si>
  <si>
    <t>Minimum loss</t>
  </si>
  <si>
    <t>Most likely loss</t>
  </si>
  <si>
    <t>Severe (maximum) loss</t>
  </si>
  <si>
    <t>Expected loss per event</t>
  </si>
  <si>
    <t>Indicative ALE (screening estimate)</t>
  </si>
  <si>
    <t>Frequency reduction from treatment</t>
  </si>
  <si>
    <t>Loss reduction from treatment</t>
  </si>
  <si>
    <t>ALE reduction</t>
  </si>
  <si>
    <t>Annual treatment cost</t>
  </si>
  <si>
    <t>Net benefit</t>
  </si>
  <si>
    <t>Benefit / cost ratio</t>
  </si>
  <si>
    <t>Severe-loss test</t>
  </si>
  <si>
    <t>Rank by ALE</t>
  </si>
  <si>
    <t>Input check</t>
  </si>
  <si>
    <t>Basis for frequency estimate</t>
  </si>
  <si>
    <t>Basis for loss estimates</t>
  </si>
  <si>
    <t>Basis for treatment reductions</t>
  </si>
  <si>
    <t>Confidence in estimates</t>
  </si>
  <si>
    <t>ALE low (frequency x minimum loss)</t>
  </si>
  <si>
    <t>ALE high (frequency x severe loss)</t>
  </si>
  <si>
    <t>Documentation check</t>
  </si>
  <si>
    <t>S-001</t>
  </si>
  <si>
    <t>Ransomware halts production for 10 days</t>
  </si>
  <si>
    <t>Encryption of tier-1 systems after credential theft.</t>
  </si>
  <si>
    <t>Sector incident rates adjusted for our controls (analyst judgement)</t>
  </si>
  <si>
    <t>Recovery cost, 10 days lost trading, legal; range from analyst workshop</t>
  </si>
  <si>
    <t>Immutable backups assumed to cut recovery time; 30% loss reduction is an assumption</t>
  </si>
  <si>
    <t>S-002</t>
  </si>
  <si>
    <t>Payroll SaaS provider data breach</t>
  </si>
  <si>
    <t>Employee records exposed through supplier compromise.</t>
  </si>
  <si>
    <t>One supplier breach in 4 years across 6 critical suppliers</t>
  </si>
  <si>
    <t>Notification, credit monitoring, regulator contact</t>
  </si>
  <si>
    <t>Assurance reviews assumed to reduce likelihood modestly</t>
  </si>
  <si>
    <t>S-003</t>
  </si>
  <si>
    <t>Customer data leaked via AI tools</t>
  </si>
  <si>
    <t>Staff paste personal data into unapproved services.</t>
  </si>
  <si>
    <t>No recorded incidents; estimated from DLP alert volumes</t>
  </si>
  <si>
    <t>Per-record breach cost x records plausibly exposed</t>
  </si>
  <si>
    <t>DLP assumed to block half of leaks once deployed</t>
  </si>
  <si>
    <t>S-004</t>
  </si>
  <si>
    <t>Late regulatory submission penalty</t>
  </si>
  <si>
    <t>Missed deadline triggers fine and remediation cost.</t>
  </si>
  <si>
    <t>Two late submissions in past 3 years</t>
  </si>
  <si>
    <t>Penalty schedule plus remediation staff time</t>
  </si>
  <si>
    <t>Automated calendar assumed to remove most misses</t>
  </si>
  <si>
    <t>S-005</t>
  </si>
  <si>
    <t>Legacy ERP outage during month-end</t>
  </si>
  <si>
    <t>Unsupported platform fails; manual workarounds required.</t>
  </si>
  <si>
    <t>Vendor failure bulletins and internal outage history</t>
  </si>
  <si>
    <t>Manual workaround cost and month-end delay</t>
  </si>
  <si>
    <t>Extended support assumed to shorten outages only</t>
  </si>
  <si>
    <t>METHOD NOTES AND LIMITATIONS</t>
  </si>
  <si>
    <t>1. Frequency, loss ranges and treatment reductions are analyst judgements, not measured data. Record the basis and your confidence for each scenario (columns V-Y).</t>
  </si>
  <si>
    <t>2. Expected loss per event uses a three-point PERT weighting (minimum + 4 x most likely + severe) / 6. It does not model the full loss distribution.</t>
  </si>
  <si>
    <t>3. ALE = frequency x expected loss. ALE low/high (frequency x minimum loss, frequency x severe loss) show a crude range, not a confidence interval.</t>
  </si>
  <si>
    <t>4. Treatment reductions are assumed, not demonstrated: they presume the action is delivered and works as intended.</t>
  </si>
  <si>
    <t>5. Scenarios are treated independently. No correlation, aggregation or tail modelling is done, so do not sum ALE as a forecast of annual loss.</t>
  </si>
  <si>
    <t>6. Use for prioritisation and discussion only. Do not use as a financial forecast, provision or insurance limit.</t>
  </si>
  <si>
    <t>Risk Aggregation Workbook</t>
  </si>
  <si>
    <t>Concentration SCREENING: finds shared drivers (suppliers, systems, teams, processes) behind several risks. Link risks to drivers on the Aggregation Map sheet. Rows 10-13 are SAMPLE data.</t>
  </si>
  <si>
    <t>SCREENING ONLY: driver totals add ordinal risk scores, which are not additive and not a measure of financial exposure. A risk linked to several drivers counts in each. True portfolio-loss aggregation (correlation, simulation) is out of scope.</t>
  </si>
  <si>
    <t>Concentration: minimum linked risks</t>
  </si>
  <si>
    <t>Indicative portfolio ALE (each scenario once)</t>
  </si>
  <si>
    <t>Sum of driver-linked ALE (overlapping)</t>
  </si>
  <si>
    <t>Overlap multiple (linked / portfolio)</t>
  </si>
  <si>
    <t>Risks linked to 2+ drivers</t>
  </si>
  <si>
    <t>Concentration: share of total residual score</t>
  </si>
  <si>
    <t>Total index, all risks (each risk once)</t>
  </si>
  <si>
    <t>Shares can total more than 100% because of overlapping links. Use the portfolio view (E4:H5) for a figure without double counting.</t>
  </si>
  <si>
    <t>Exposure driver</t>
  </si>
  <si>
    <t>Driver type</t>
  </si>
  <si>
    <t>Linked risks</t>
  </si>
  <si>
    <t>Concentration index (sum of residual scores)</t>
  </si>
  <si>
    <t>Share of total index</t>
  </si>
  <si>
    <t>Highest single residual</t>
  </si>
  <si>
    <t>Linked breaches</t>
  </si>
  <si>
    <t>Linked indicative ALE (GBP, overlaps)</t>
  </si>
  <si>
    <t>Concentration indicator (screening)</t>
  </si>
  <si>
    <t>Rank</t>
  </si>
  <si>
    <t>Corporate network &amp; identity platform</t>
  </si>
  <si>
    <t>Asset / system</t>
  </si>
  <si>
    <t>Platform engineering team</t>
  </si>
  <si>
    <t>Payroll SaaS provider</t>
  </si>
  <si>
    <t>Supplier</t>
  </si>
  <si>
    <t>Anchor customer relationship</t>
  </si>
  <si>
    <t>Customer</t>
  </si>
  <si>
    <t>Aggregation Map</t>
  </si>
  <si>
    <t>Link each risk to the shared drivers behind it (one row per risk-driver pair). Drivers are defined on the Risk Aggregation sheet. Rows 6-15 are SAMPLE data.</t>
  </si>
  <si>
    <t>In breach of appetite?</t>
  </si>
  <si>
    <t>Indicative scenario ALE (GBP)</t>
  </si>
  <si>
    <t>Duplicate check</t>
  </si>
  <si>
    <t>Snapshot Capture</t>
  </si>
  <si>
    <t>Live point-in-time view of the register. Freeze it into history with Paste Special &gt; Values, then reconcile on Snapshot Trends. No macros, so it works offline.</t>
  </si>
  <si>
    <t>Snapshot label</t>
  </si>
  <si>
    <t>Q4 2026 review</t>
  </si>
  <si>
    <t>Risks to copy</t>
  </si>
  <si>
    <t>Copy rows 6 to</t>
  </si>
  <si>
    <t>Control: sum of residual scores</t>
  </si>
  <si>
    <t>Control: breaches</t>
  </si>
  <si>
    <t>STRICT PROCEDURE: 1) Set Methodology!B4 to a fixed reporting date (not TODAY()). 2) Confirm Checks shows no unresolved defects. 3) Enter the label. 4) Copy A6 to V(row in G3) only. 5) Paste Special &gt; Values at the first empty row of Snapshot History, never over existing rows. 6) Record the three control totals (E3, J3, L3) on Snapshot Trends and confirm 'Reconciled'. 7) Log the capture in the Change Log.</t>
  </si>
  <si>
    <t>Snapshot date</t>
  </si>
  <si>
    <t>Residual likelihood</t>
  </si>
  <si>
    <t>Residual impact</t>
  </si>
  <si>
    <t>Control effectiveness (Register, indicative)</t>
  </si>
  <si>
    <t>Control effectiveness (RCM suggested)</t>
  </si>
  <si>
    <t>Appetite threshold version</t>
  </si>
  <si>
    <t>Snapshot History (append-only by convention)</t>
  </si>
  <si>
    <t>Pasted values only: one block of rows per snapshot. Never edit or delete past rows. Rows 6-21 are SAMPLE history (two fictional snapshots).</t>
  </si>
  <si>
    <t>Lookup key (auto)</t>
  </si>
  <si>
    <t>Aug 2026 review</t>
  </si>
  <si>
    <t>Breach - not accepted</t>
  </si>
  <si>
    <t>Assessed (evidence-supported)</t>
  </si>
  <si>
    <t>Breach - formally accepted</t>
  </si>
  <si>
    <t>Gap</t>
  </si>
  <si>
    <t>Accepted - expiry not set</t>
  </si>
  <si>
    <t>Inherent only (no valid assessment)</t>
  </si>
  <si>
    <t>Sep 2026 review</t>
  </si>
  <si>
    <t>Snapshot Trends, Reconciliation &amp; Risk Movement</t>
  </si>
  <si>
    <t>Calculated from Snapshot History. Enter each snapshot date and its three control totals (from Snapshot Capture). Pick two dates to compare. Distinguishes like-for-like movement from changes in register composition.</t>
  </si>
  <si>
    <t>Current snapshot date</t>
  </si>
  <si>
    <t>Risks in both snapshots</t>
  </si>
  <si>
    <t>New in current</t>
  </si>
  <si>
    <t>Removed since comparison</t>
  </si>
  <si>
    <t>Like-for-like risks (same threshold version and basis)</t>
  </si>
  <si>
    <t>Like-for-like avg residual change</t>
  </si>
  <si>
    <t>Like-for-like breach change</t>
  </si>
  <si>
    <t>Total breach change (incl. composition)</t>
  </si>
  <si>
    <t>Comparison snapshot date</t>
  </si>
  <si>
    <t>Label</t>
  </si>
  <si>
    <t>Risks captured</t>
  </si>
  <si>
    <t>Residual High / Critical</t>
  </si>
  <si>
    <t>Appetite breaches (all)</t>
  </si>
  <si>
    <t>Acceptance lapsed or no expiry</t>
  </si>
  <si>
    <t>Weak / no control effectiveness</t>
  </si>
  <si>
    <t>Change in breaches vs previous</t>
  </si>
  <si>
    <t>Control total: risks (Capture E3)</t>
  </si>
  <si>
    <t>Control total: sum of residual (Capture J3)</t>
  </si>
  <si>
    <t>Control total: breaches (Capture L3)</t>
  </si>
  <si>
    <t>Reconciliation</t>
  </si>
  <si>
    <t>Risk movement between the comparison and current snapshots (risks on the live register)</t>
  </si>
  <si>
    <t>Prior residual</t>
  </si>
  <si>
    <t>Current residual</t>
  </si>
  <si>
    <t>Change</t>
  </si>
  <si>
    <t>Prior breach status</t>
  </si>
  <si>
    <t>Prior governance status</t>
  </si>
  <si>
    <t>Current governance status</t>
  </si>
  <si>
    <t>Movement</t>
  </si>
  <si>
    <t>Prior appetite version</t>
  </si>
  <si>
    <t>Current appetite version</t>
  </si>
  <si>
    <t>Prior residual basis</t>
  </si>
  <si>
    <t>Current residual basis</t>
  </si>
  <si>
    <t>Comparability</t>
  </si>
  <si>
    <t>Change Log (voluntary record, NOT an audit trail)</t>
  </si>
  <si>
    <t>Rows 6-8 are SAMPLE entries.</t>
  </si>
  <si>
    <t>VOLUNTARY LOG: manually maintained and not tamper-resistant. Anyone with edit access can add, alter or delete entries, so completeness cannot be proven. For assurance use file version history, access controls, protected sheets and signed approvals held outside this workbook.</t>
  </si>
  <si>
    <t>Date</t>
  </si>
  <si>
    <t>Area</t>
  </si>
  <si>
    <t>Item ID</t>
  </si>
  <si>
    <t>Field changed</t>
  </si>
  <si>
    <t>Previous value</t>
  </si>
  <si>
    <t>New value</t>
  </si>
  <si>
    <t>Reason / decision</t>
  </si>
  <si>
    <t>Changed by</t>
  </si>
  <si>
    <t>Related snapshot date</t>
  </si>
  <si>
    <t>Evidence / reference (ticket, minute, email)</t>
  </si>
  <si>
    <t>Risk Register</t>
  </si>
  <si>
    <t>Control effectiveness (indicative)</t>
  </si>
  <si>
    <t>Compliance calendar automation approved and tested</t>
  </si>
  <si>
    <t>EV-004 / ticket GRC-112</t>
  </si>
  <si>
    <t>Risk Committee approved with DLP condition</t>
  </si>
  <si>
    <t>Committee minute 2026-09-30</t>
  </si>
  <si>
    <t>Appetite</t>
  </si>
  <si>
    <t>12</t>
  </si>
  <si>
    <t>10</t>
  </si>
  <si>
    <t>Board tightened appetite after annual review</t>
  </si>
  <si>
    <t>Head of Risk</t>
  </si>
  <si>
    <t>Board</t>
  </si>
  <si>
    <t>Board paper 2026-06</t>
  </si>
  <si>
    <t>Exception Register</t>
  </si>
  <si>
    <t>Exception ID</t>
  </si>
  <si>
    <t>Check name</t>
  </si>
  <si>
    <t>Scope (IDs or rows covered)</t>
  </si>
  <si>
    <t>Issues covered</t>
  </si>
  <si>
    <t>Rationale</t>
  </si>
  <si>
    <t>Authorised by (not the owner)</t>
  </si>
  <si>
    <t>Authorisation date</t>
  </si>
  <si>
    <t>Exception status</t>
  </si>
  <si>
    <t>Issues offset</t>
  </si>
  <si>
    <t>EX-001</t>
  </si>
  <si>
    <t>Acceptances approved with insufficient authority</t>
  </si>
  <si>
    <t>AC-001 (R-002)</t>
  </si>
  <si>
    <t>SAMPLE: deliberate test row that demonstrates the authority check</t>
  </si>
  <si>
    <t>Toolkit author</t>
  </si>
  <si>
    <t>Toolkit reviewer</t>
  </si>
  <si>
    <t>EX-002</t>
  </si>
  <si>
    <t>Risks without a valid evidence-supported residual assessment</t>
  </si>
  <si>
    <t>R-007 (expired), R-008 (none)</t>
  </si>
  <si>
    <t>SAMPLE: deliberate test rows that demonstrate the inherent-basis fallback</t>
  </si>
  <si>
    <t>Data Integrity Checks &amp; Release Gate</t>
  </si>
  <si>
    <t>Sample data present? (Yes/No)</t>
  </si>
  <si>
    <t>Yes</t>
  </si>
  <si>
    <t>Check</t>
  </si>
  <si>
    <t>Issues found</t>
  </si>
  <si>
    <t>Authorised exceptions (Exception Register)</t>
  </si>
  <si>
    <t>Unresolved defects</t>
  </si>
  <si>
    <t>Duplicate Risk IDs</t>
  </si>
  <si>
    <t>Risks with a category not listed on Appetite</t>
  </si>
  <si>
    <t>Treatment actions linked to an unknown Risk ID</t>
  </si>
  <si>
    <t>Appetite rows failing validity (tolerance, approval, effective date, version, review)</t>
  </si>
  <si>
    <t>Accepted risks with no approver named</t>
  </si>
  <si>
    <t>Acceptance rows linked to an unknown Risk ID</t>
  </si>
  <si>
    <t>KRIs linked to an unknown Risk ID</t>
  </si>
  <si>
    <t>Risk-control mappings to an unknown Risk ID</t>
  </si>
  <si>
    <t>Scenarios with missing or inconsistent loss estimates</t>
  </si>
  <si>
    <t>Scenarios without documented basis or confidence</t>
  </si>
  <si>
    <t>Change log entries missing reason or approver</t>
  </si>
  <si>
    <t>Snapshot history duplicate rows (same date and risk)</t>
  </si>
  <si>
    <t>Snapshots with missing or mismatched control totals</t>
  </si>
  <si>
    <t>Total</t>
  </si>
  <si>
    <t>Release status</t>
  </si>
  <si>
    <t>Approval decision (manual)</t>
  </si>
  <si>
    <t>Matched approved exception (auto)</t>
  </si>
  <si>
    <t>Assessment approval/date failures (populated risks)</t>
  </si>
  <si>
    <t>Risks with unusable appetite configurations</t>
  </si>
  <si>
    <t>Exception records without exact permitted scope</t>
  </si>
  <si>
    <t>Risk register rows with no approved assessment</t>
  </si>
  <si>
    <t>ERM v4.1 | Governance and QA Release Notes</t>
  </si>
  <si>
    <t>Control area</t>
  </si>
  <si>
    <t>New operational rule</t>
  </si>
  <si>
    <t>Appetite governance</t>
  </si>
  <si>
    <t>Only currently effective, approved threshold configurations permit authoritative breach statuses.</t>
  </si>
  <si>
    <t>Review overdue</t>
  </si>
  <si>
    <t>Previously approved and effective limits remain applied, but review overdue is flagged in Appetite.</t>
  </si>
  <si>
    <t>Bad threshold</t>
  </si>
  <si>
    <t>Missing, future, invalid and duplicate threshold configurations return Configuration status, not false pass/fail.</t>
  </si>
  <si>
    <t>Residual assessment</t>
  </si>
  <si>
    <t>Requires numeric integral 1-5 scores, evidence, assessor, approval owner, valid date and explicit Approved decision.</t>
  </si>
  <si>
    <t>Future dates</t>
  </si>
  <si>
    <t>Future or missing assessment dates invalidate the residual assessment; inherent scores provide conservative fallback.</t>
  </si>
  <si>
    <t>Exception offset</t>
  </si>
  <si>
    <t>Insufficient-authority exception must match exact Acceptance ID and Risk ID, check name and current authorisation.</t>
  </si>
  <si>
    <t>Exceptions elsewhere</t>
  </si>
  <si>
    <t>No general issue-count offsets permitted; fix underlying defect rather than hiding it.</t>
  </si>
  <si>
    <t>Historical snapshot</t>
  </si>
  <si>
    <t>Manual value-only capture is not immutable; preserve records externally with document controls.</t>
  </si>
  <si>
    <t>Quantitative analysis</t>
  </si>
  <si>
    <t>Scenario estimates are illustrative and must not be treated as precise financial forecasts.</t>
  </si>
  <si>
    <t>Requires recalculation and interaction testing in Microsoft Excel before external operational use.</t>
  </si>
  <si>
    <t>Test scenario</t>
  </si>
  <si>
    <t>Expected behaviour</t>
  </si>
  <si>
    <t>Test type</t>
  </si>
  <si>
    <t>T01</t>
  </si>
  <si>
    <t>Set Appetite F8 blank</t>
  </si>
  <si>
    <t>Risk U category becomes Configuration: Not approved</t>
  </si>
  <si>
    <t>Excel manual</t>
  </si>
  <si>
    <t>T02</t>
  </si>
  <si>
    <t>Set Appetite K8 to future date</t>
  </si>
  <si>
    <t>Risk U category becomes Configuration: Not yet effective</t>
  </si>
  <si>
    <t>T03</t>
  </si>
  <si>
    <t>Set Appetite H8 to past</t>
  </si>
  <si>
    <t>Risk U still classifies; Appetite I = Review overdue - approved</t>
  </si>
  <si>
    <t>T04</t>
  </si>
  <si>
    <t>Reverse Appetite C8 and D8</t>
  </si>
  <si>
    <t>Risk U = Configuration: Invalid thresholds</t>
  </si>
  <si>
    <t>T05</t>
  </si>
  <si>
    <t>Clear Risk Register AL6</t>
  </si>
  <si>
    <t>AI6 = Approval not confirmed and inherent score used</t>
  </si>
  <si>
    <t>T06</t>
  </si>
  <si>
    <t>Enter future date in Risk Register AG6</t>
  </si>
  <si>
    <t>AI6 = Invalid assessment date; inherent score used</t>
  </si>
  <si>
    <t>T07</t>
  </si>
  <si>
    <t>Enter residual likelihood 7 in K6</t>
  </si>
  <si>
    <t>AI6 = Invalid residual ratings</t>
  </si>
  <si>
    <t>T08</t>
  </si>
  <si>
    <t>Edit Exception Register C6 to different acceptance ID</t>
  </si>
  <si>
    <t>Checks C11 = 0; authority defect unresolved</t>
  </si>
  <si>
    <t>T09</t>
  </si>
  <si>
    <t>Expire exception record I6</t>
  </si>
  <si>
    <t>T10</t>
  </si>
  <si>
    <t>Sort Risk Register records</t>
  </si>
  <si>
    <t>Risk and treatment IDs continue to associate correctly</t>
  </si>
  <si>
    <t>Risks with missing or invalid inherent ratings</t>
  </si>
  <si>
    <t>Aggregation links with unknown risk/driver or duplicate pair</t>
  </si>
  <si>
    <t>Issue counts identify failed checks, not unique root causes. Only exact scoped authority exceptions can offset a check; they do not make an acceptance eligible. Rows 25-28 are diagnostics already covered above.</t>
  </si>
  <si>
    <t>Acceptance eligibility (auto)</t>
  </si>
  <si>
    <t>An eligible acceptance requires an approved decision, named approver, rationale, valid current dates, permitted duration and sufficient authority. Exceptions offset a check only; they do not grant authority. The last eligible worksheet record supplies displayed approver and expiry. Review duplicate decisions and sort by decision date if chronological precedence is needed.</t>
  </si>
  <si>
    <t>Only a current, independently authorised, numeric-dated exception with exact Acceptance ID (Risk ID), the authority check name and issue count 1 can offset that authority check. It cannot offset other defects or make a risk acceptance eligible. Rows 6-7 are SAMPLE; EX-002 is intentionally unsupported and must be removed before operational use.</t>
  </si>
  <si>
    <t>INDICATIVE ONLY: document assumptions and confidence in V:Y. F:I and treatment cost must be numeric and nonnegative; loss bounds ordered; L:M must be between 0 and 100%. Invalid rows produce no loss estimate and block the portfolio tolerance status. Capacity: rows 8:57 only.</t>
  </si>
  <si>
    <t>DATA QUALITY AND SETUP</t>
  </si>
  <si>
    <t>Version 4.1.1. Desktop Excel recalculation tested; Excel for web unverified. The status reports setup and data-quality conditions, not production certification. Risk breaches remain visible even when accepted. Formula cells are unprotected; use controlled file access and preserve calculated columns. Fixed worksheet capacities apply.</t>
  </si>
  <si>
    <t>Enterprise Risk Management Toolkit v4.1.1 - Demonstration</t>
  </si>
  <si>
    <t>This demonstration contains fictional records and intentional data-quality examples, including an expired assessment and a missing residual assessment. Checks reports these as sample data-quality issues. Exact scoped authority exceptions offset their matching check only and never grant acceptance authority. For your own records, start with the separate Clean Template workbook.</t>
  </si>
  <si>
    <t>Explore the fictional records to understand the workflow. Review Methodology, Appetite, Risk Register and the linked monitoring sheets. The demonstration status is a description of sample data, not release certification. Use the separate Clean Template to enter organisational data. Dashboard totals always include filtered-out records.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</si>
</sst>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0.0"/>
    <numFmt numFmtId="165" formatCode="\£#,##0"/>
    <numFmt numFmtId="166" formatCode="dd\ mmm\ yyyy"/>
    <numFmt numFmtId="167" formatCode="0.0\x"/>
  </numFmts>
  <fonts count="17" x14ac:knownFonts="1">
    <font>
      <sz val="11"/>
      <color theme="1"/>
      <name val="Calibri"/>
    </font>
    <font>
      <sz val="10"/>
      <name val="Arial"/>
    </font>
    <font>
      <b/>
      <sz val="16"/>
      <color rgb="FF1F3864"/>
      <name val="Arial"/>
    </font>
    <font>
      <i/>
      <sz val="10"/>
      <color rgb="FF595959"/>
      <name val="Arial"/>
    </font>
    <font>
      <b/>
      <sz val="10"/>
      <color rgb="FFFFFFFF"/>
      <name val="Arial"/>
    </font>
    <font>
      <sz val="10"/>
      <name val="Arial"/>
    </font>
    <font>
      <b/>
      <sz val="12"/>
      <color rgb="FF1F3864"/>
      <name val="Arial"/>
    </font>
    <font>
      <sz val="10"/>
      <color rgb="FF000000"/>
      <name val="Arial"/>
    </font>
    <font>
      <b/>
      <sz val="10"/>
      <color rgb="FF000000"/>
      <name val="Arial"/>
    </font>
    <font>
      <i/>
      <sz val="8"/>
      <color rgb="FF595959"/>
      <name val="Arial"/>
    </font>
    <font>
      <sz val="10"/>
      <color rgb="FF0000FF"/>
      <name val="Arial"/>
    </font>
    <font>
      <b/>
      <sz val="9"/>
      <color rgb="FFFFFFFF"/>
      <name val="Arial"/>
    </font>
    <font>
      <b/>
      <sz val="12"/>
      <name val="Arial"/>
    </font>
    <font>
      <b/>
      <sz val="10"/>
      <color rgb="FFC00000"/>
      <name val="Arial"/>
    </font>
    <font>
      <b/>
      <sz val="10"/>
      <name val="Arial"/>
    </font>
    <font>
      <b/>
      <sz val="10"/>
      <color rgb="FF1F3864"/>
      <name val="Arial"/>
    </font>
    <font>
      <b/>
      <sz val="11"/>
      <color rgb="FFFFFFFF"/>
      <name val="Calibri"/>
    </font>
  </fonts>
  <fills count="12">
    <fill>
      <patternFill patternType="none"/>
    </fill>
    <fill>
      <patternFill patternType="gray125"/>
    </fill>
    <fill>
      <patternFill patternType="solid">
        <fgColor rgb="FF1F3864"/>
      </patternFill>
    </fill>
    <fill>
      <patternFill patternType="solid">
        <fgColor rgb="FFF2F2F2"/>
      </patternFill>
    </fill>
    <fill>
      <patternFill patternType="solid">
        <fgColor rgb="FFFFE699"/>
      </patternFill>
    </fill>
    <fill>
      <patternFill patternType="solid">
        <fgColor rgb="FFF8CBAD"/>
      </patternFill>
    </fill>
    <fill>
      <patternFill patternType="solid">
        <fgColor rgb="FFF4B6B6"/>
      </patternFill>
    </fill>
    <fill>
      <patternFill patternType="solid">
        <fgColor rgb="FFC6E0B4"/>
      </patternFill>
    </fill>
    <fill>
      <patternFill patternType="solid">
        <fgColor rgb="FFFFF9E5"/>
      </patternFill>
    </fill>
    <fill>
      <patternFill patternType="solid">
        <fgColor rgb="FF2F5597"/>
      </patternFill>
    </fill>
    <fill>
      <patternFill patternType="solid">
        <fgColor rgb="FF123049"/>
      </patternFill>
    </fill>
    <fill>
      <patternFill patternType="solid">
        <fgColor rgb="FF1D5060"/>
      </patternFill>
    </fill>
  </fills>
  <borders count="3">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s>
  <cellStyleXfs count="6">
    <xf numFmtId="0" fontId="0" fillId="0" borderId="0"/>
    <xf numFmtId="43" fontId="1" fillId="0" borderId="0" applyBorder="0" applyAlignment="0" applyProtection="0"/>
    <xf numFmtId="41" fontId="1" fillId="0" borderId="0" applyBorder="0" applyAlignment="0" applyProtection="0"/>
    <xf numFmtId="44" fontId="1" fillId="0" borderId="0" applyBorder="0" applyAlignment="0" applyProtection="0"/>
    <xf numFmtId="42" fontId="1" fillId="0" borderId="0" applyBorder="0" applyAlignment="0" applyProtection="0"/>
    <xf numFmtId="9" fontId="1" fillId="0" borderId="0" applyBorder="0" applyAlignment="0" applyProtection="0"/>
  </cellStyleXfs>
  <cellXfs count="75">
    <xf numFmtId="0" fontId="0" fillId="0" borderId="0" xfId="0"/>
    <xf numFmtId="0" fontId="3" fillId="0" borderId="0" xfId="0" applyFont="1"/>
    <xf numFmtId="0" fontId="2" fillId="0" borderId="0" xfId="0" applyFont="1"/>
    <xf numFmtId="0" fontId="4" fillId="2" borderId="0" xfId="0" applyFont="1" applyFill="1"/>
    <xf numFmtId="0" fontId="5" fillId="0" borderId="0" xfId="0" applyFont="1" applyAlignment="1">
      <alignment vertical="top" wrapText="1"/>
    </xf>
    <xf numFmtId="0" fontId="6" fillId="0" borderId="0" xfId="0" applyFont="1"/>
    <xf numFmtId="0" fontId="7" fillId="0" borderId="1" xfId="0" applyFont="1" applyBorder="1" applyAlignment="1">
      <alignment vertical="center"/>
    </xf>
    <xf numFmtId="0" fontId="8" fillId="0" borderId="1" xfId="0" applyFont="1" applyBorder="1" applyAlignment="1">
      <alignment horizontal="center" vertical="center"/>
    </xf>
    <xf numFmtId="0" fontId="8" fillId="3" borderId="1" xfId="0" applyFont="1" applyFill="1" applyBorder="1" applyAlignment="1">
      <alignment vertical="center"/>
    </xf>
    <xf numFmtId="0" fontId="8" fillId="3" borderId="1" xfId="0" applyFont="1" applyFill="1" applyBorder="1" applyAlignment="1">
      <alignment horizontal="center" vertical="center"/>
    </xf>
    <xf numFmtId="164" fontId="8" fillId="0" borderId="1" xfId="0" applyNumberFormat="1" applyFont="1" applyBorder="1" applyAlignment="1">
      <alignment horizontal="center" vertical="center"/>
    </xf>
    <xf numFmtId="0" fontId="8" fillId="4" borderId="1" xfId="0" applyFont="1" applyFill="1" applyBorder="1" applyAlignment="1">
      <alignment horizontal="center" vertical="center"/>
    </xf>
    <xf numFmtId="0" fontId="8" fillId="5" borderId="1" xfId="0" applyFont="1" applyFill="1" applyBorder="1" applyAlignment="1">
      <alignment horizontal="center" vertical="center"/>
    </xf>
    <xf numFmtId="0" fontId="8" fillId="6" borderId="1" xfId="0" applyFont="1" applyFill="1" applyBorder="1" applyAlignment="1">
      <alignment horizontal="center" vertical="center"/>
    </xf>
    <xf numFmtId="0" fontId="8" fillId="7" borderId="1" xfId="0" applyFont="1" applyFill="1" applyBorder="1" applyAlignment="1">
      <alignment horizontal="center" vertical="center"/>
    </xf>
    <xf numFmtId="0" fontId="9" fillId="0" borderId="0" xfId="0" applyFont="1"/>
    <xf numFmtId="0" fontId="4" fillId="2" borderId="1" xfId="0" applyFont="1" applyFill="1" applyBorder="1" applyAlignment="1">
      <alignment horizontal="center" vertical="center" wrapText="1"/>
    </xf>
    <xf numFmtId="0" fontId="7" fillId="0" borderId="1" xfId="0" applyFont="1" applyBorder="1" applyAlignment="1">
      <alignment horizontal="center" vertical="center"/>
    </xf>
    <xf numFmtId="165" fontId="8" fillId="0" borderId="1" xfId="0" applyNumberFormat="1" applyFont="1" applyBorder="1" applyAlignment="1">
      <alignment horizontal="center" vertical="center"/>
    </xf>
    <xf numFmtId="164" fontId="7" fillId="0" borderId="1" xfId="0" applyNumberFormat="1" applyFont="1" applyBorder="1" applyAlignment="1">
      <alignment horizontal="center" vertical="center"/>
    </xf>
    <xf numFmtId="0" fontId="8" fillId="0" borderId="1" xfId="0" applyFont="1" applyBorder="1" applyAlignment="1">
      <alignment vertical="center"/>
    </xf>
    <xf numFmtId="0" fontId="10" fillId="8" borderId="1" xfId="0" applyFont="1" applyFill="1" applyBorder="1" applyAlignment="1">
      <alignment vertical="center"/>
    </xf>
    <xf numFmtId="166" fontId="10" fillId="8" borderId="1" xfId="0" applyNumberFormat="1" applyFont="1" applyFill="1" applyBorder="1" applyAlignment="1">
      <alignment vertical="center"/>
    </xf>
    <xf numFmtId="0" fontId="7" fillId="0" borderId="1" xfId="0" applyFont="1" applyBorder="1" applyAlignment="1">
      <alignment vertical="top" wrapText="1"/>
    </xf>
    <xf numFmtId="0" fontId="10" fillId="8" borderId="1" xfId="0" applyFont="1" applyFill="1" applyBorder="1" applyAlignment="1">
      <alignment vertical="top" wrapText="1"/>
    </xf>
    <xf numFmtId="0" fontId="7" fillId="3" borderId="1" xfId="0" applyFont="1" applyFill="1" applyBorder="1" applyAlignment="1">
      <alignment vertical="center"/>
    </xf>
    <xf numFmtId="0" fontId="7" fillId="4" borderId="1" xfId="0" applyFont="1" applyFill="1" applyBorder="1" applyAlignment="1">
      <alignment horizontal="center" vertical="center"/>
    </xf>
    <xf numFmtId="0" fontId="7" fillId="5" borderId="1" xfId="0" applyFont="1" applyFill="1" applyBorder="1" applyAlignment="1">
      <alignment horizontal="center" vertical="center"/>
    </xf>
    <xf numFmtId="0" fontId="7" fillId="6" borderId="1" xfId="0" applyFont="1" applyFill="1" applyBorder="1" applyAlignment="1">
      <alignment horizontal="center" vertical="center"/>
    </xf>
    <xf numFmtId="0" fontId="7" fillId="7" borderId="1" xfId="0" applyFont="1" applyFill="1" applyBorder="1" applyAlignment="1">
      <alignment horizontal="center" vertical="center"/>
    </xf>
    <xf numFmtId="9" fontId="10" fillId="8" borderId="1" xfId="0" applyNumberFormat="1" applyFont="1" applyFill="1" applyBorder="1" applyAlignment="1">
      <alignment vertical="center"/>
    </xf>
    <xf numFmtId="164" fontId="10" fillId="8" borderId="1" xfId="0" applyNumberFormat="1" applyFont="1" applyFill="1" applyBorder="1" applyAlignment="1">
      <alignment vertical="center"/>
    </xf>
    <xf numFmtId="0" fontId="5" fillId="0" borderId="0" xfId="0" applyFont="1"/>
    <xf numFmtId="0" fontId="10" fillId="8" borderId="1" xfId="0" applyFont="1" applyFill="1" applyBorder="1" applyAlignment="1">
      <alignment horizontal="center" vertical="center"/>
    </xf>
    <xf numFmtId="166" fontId="10" fillId="8" borderId="1" xfId="0" applyNumberFormat="1" applyFont="1" applyFill="1" applyBorder="1" applyAlignment="1">
      <alignment horizontal="center" vertical="center"/>
    </xf>
    <xf numFmtId="0" fontId="10" fillId="8" borderId="1" xfId="0" applyFont="1" applyFill="1" applyBorder="1" applyAlignment="1">
      <alignment vertical="top"/>
    </xf>
    <xf numFmtId="0" fontId="10" fillId="8" borderId="1" xfId="0" applyFont="1" applyFill="1" applyBorder="1" applyAlignment="1">
      <alignment horizontal="center" vertical="top"/>
    </xf>
    <xf numFmtId="0" fontId="5" fillId="3" borderId="1" xfId="0" applyFont="1" applyFill="1" applyBorder="1" applyAlignment="1">
      <alignment horizontal="center" vertical="top"/>
    </xf>
    <xf numFmtId="0" fontId="5" fillId="3" borderId="1" xfId="0" applyFont="1" applyFill="1" applyBorder="1" applyAlignment="1">
      <alignment vertical="top"/>
    </xf>
    <xf numFmtId="166" fontId="5" fillId="3" borderId="1" xfId="0" applyNumberFormat="1" applyFont="1" applyFill="1" applyBorder="1" applyAlignment="1">
      <alignment vertical="top"/>
    </xf>
    <xf numFmtId="166" fontId="10" fillId="8" borderId="1" xfId="0" applyNumberFormat="1" applyFont="1" applyFill="1" applyBorder="1" applyAlignment="1">
      <alignment vertical="top"/>
    </xf>
    <xf numFmtId="0" fontId="11" fillId="2" borderId="1" xfId="0" applyFont="1" applyFill="1" applyBorder="1" applyAlignment="1">
      <alignment horizontal="center" wrapText="1"/>
    </xf>
    <xf numFmtId="0" fontId="12" fillId="0" borderId="1" xfId="0" applyFont="1" applyBorder="1" applyAlignment="1">
      <alignment horizontal="center"/>
    </xf>
    <xf numFmtId="0" fontId="5" fillId="0" borderId="1" xfId="0" applyFont="1" applyBorder="1" applyAlignment="1">
      <alignment horizontal="center" vertical="top"/>
    </xf>
    <xf numFmtId="0" fontId="5" fillId="3" borderId="1" xfId="0" applyFont="1" applyFill="1" applyBorder="1" applyAlignment="1">
      <alignment vertical="top" wrapText="1"/>
    </xf>
    <xf numFmtId="166" fontId="5" fillId="3" borderId="1" xfId="0" applyNumberFormat="1" applyFont="1" applyFill="1" applyBorder="1" applyAlignment="1">
      <alignment horizontal="center" vertical="top"/>
    </xf>
    <xf numFmtId="166" fontId="10" fillId="8" borderId="1" xfId="0" applyNumberFormat="1" applyFont="1" applyFill="1" applyBorder="1" applyAlignment="1">
      <alignment horizontal="center" vertical="top"/>
    </xf>
    <xf numFmtId="9" fontId="10" fillId="8" borderId="1" xfId="0" applyNumberFormat="1" applyFont="1" applyFill="1" applyBorder="1" applyAlignment="1">
      <alignment horizontal="center" vertical="top"/>
    </xf>
    <xf numFmtId="164" fontId="5" fillId="3" borderId="1" xfId="0" applyNumberFormat="1" applyFont="1" applyFill="1" applyBorder="1" applyAlignment="1">
      <alignment horizontal="center" vertical="top"/>
    </xf>
    <xf numFmtId="0" fontId="13" fillId="0" borderId="0" xfId="0" applyFont="1"/>
    <xf numFmtId="165" fontId="10" fillId="8" borderId="1" xfId="0" applyNumberFormat="1" applyFont="1" applyFill="1" applyBorder="1" applyAlignment="1">
      <alignment vertical="center"/>
    </xf>
    <xf numFmtId="165" fontId="14" fillId="0" borderId="1" xfId="0" applyNumberFormat="1" applyFont="1" applyBorder="1" applyAlignment="1">
      <alignment horizontal="center"/>
    </xf>
    <xf numFmtId="0" fontId="14" fillId="0" borderId="1" xfId="0" applyFont="1" applyBorder="1" applyAlignment="1">
      <alignment horizontal="center"/>
    </xf>
    <xf numFmtId="2" fontId="10" fillId="8" borderId="1" xfId="0" applyNumberFormat="1" applyFont="1" applyFill="1" applyBorder="1" applyAlignment="1">
      <alignment horizontal="center" vertical="top"/>
    </xf>
    <xf numFmtId="165" fontId="10" fillId="8" borderId="1" xfId="0" applyNumberFormat="1" applyFont="1" applyFill="1" applyBorder="1" applyAlignment="1">
      <alignment vertical="top"/>
    </xf>
    <xf numFmtId="165" fontId="5" fillId="3" borderId="1" xfId="0" applyNumberFormat="1" applyFont="1" applyFill="1" applyBorder="1" applyAlignment="1">
      <alignment vertical="top"/>
    </xf>
    <xf numFmtId="167" fontId="5" fillId="3" borderId="1" xfId="0" applyNumberFormat="1" applyFont="1" applyFill="1" applyBorder="1" applyAlignment="1">
      <alignment horizontal="center" vertical="top"/>
    </xf>
    <xf numFmtId="0" fontId="15" fillId="0" borderId="0" xfId="0" applyFont="1"/>
    <xf numFmtId="0" fontId="7" fillId="0" borderId="0" xfId="0" applyFont="1"/>
    <xf numFmtId="0" fontId="11" fillId="2" borderId="1" xfId="0" applyFont="1" applyFill="1" applyBorder="1" applyAlignment="1">
      <alignment horizontal="center" vertical="center" wrapText="1"/>
    </xf>
    <xf numFmtId="9" fontId="10" fillId="8" borderId="1" xfId="0" applyNumberFormat="1" applyFont="1" applyFill="1" applyBorder="1" applyAlignment="1">
      <alignment horizontal="center" vertical="center"/>
    </xf>
    <xf numFmtId="167" fontId="14" fillId="0" borderId="1" xfId="0" applyNumberFormat="1" applyFont="1" applyBorder="1" applyAlignment="1">
      <alignment horizontal="center"/>
    </xf>
    <xf numFmtId="0" fontId="7" fillId="3" borderId="1" xfId="0" applyFont="1" applyFill="1" applyBorder="1" applyAlignment="1">
      <alignment horizontal="center" vertical="center"/>
    </xf>
    <xf numFmtId="9" fontId="5" fillId="3" borderId="1" xfId="0" applyNumberFormat="1" applyFont="1" applyFill="1" applyBorder="1" applyAlignment="1">
      <alignment horizontal="center" vertical="top"/>
    </xf>
    <xf numFmtId="165" fontId="5" fillId="3" borderId="1" xfId="0" applyNumberFormat="1" applyFont="1" applyFill="1" applyBorder="1" applyAlignment="1">
      <alignment horizontal="center" vertical="top"/>
    </xf>
    <xf numFmtId="164" fontId="14" fillId="0" borderId="1" xfId="0" applyNumberFormat="1" applyFont="1" applyBorder="1" applyAlignment="1">
      <alignment horizontal="center"/>
    </xf>
    <xf numFmtId="0" fontId="16" fillId="10" borderId="0" xfId="0" applyFont="1" applyFill="1"/>
    <xf numFmtId="0" fontId="16" fillId="11" borderId="0" xfId="0" applyFont="1" applyFill="1" applyAlignment="1">
      <alignment wrapText="1"/>
    </xf>
    <xf numFmtId="0" fontId="0" fillId="0" borderId="0" xfId="0" applyAlignment="1">
      <alignment wrapText="1"/>
    </xf>
    <xf numFmtId="0" fontId="7" fillId="0" borderId="1" xfId="0" applyFont="1" applyBorder="1" applyAlignment="1">
      <alignment vertical="center" wrapText="1"/>
    </xf>
    <xf numFmtId="0" fontId="3" fillId="0" borderId="0" xfId="0" applyFont="1"/>
    <xf numFmtId="0" fontId="11" fillId="9" borderId="0" xfId="0" applyFont="1" applyFill="1" applyAlignment="1">
      <alignment horizontal="center"/>
    </xf>
    <xf numFmtId="0" fontId="0" fillId="0" borderId="0" xfId="0" applyAlignment="1">
      <alignment wrapText="1"/>
    </xf>
    <xf numFmtId="0" fontId="8" fillId="3" borderId="2" xfId="0" applyFont="1" applyFill="1" applyBorder="1" applyAlignment="1">
      <alignment vertical="center"/>
    </xf>
    <xf numFmtId="0" fontId="3" fillId="0" borderId="0" xfId="0" applyFont="1" applyAlignment="1">
      <alignment wrapText="1"/>
    </xf>
  </cellXfs>
  <cellStyles count="6">
    <cellStyle name="Comma" xfId="1" xr:uid="{00000000-0005-0000-0000-000001000000}"/>
    <cellStyle name="Comma [0]" xfId="2" xr:uid="{00000000-0005-0000-0000-000002000000}"/>
    <cellStyle name="Currency" xfId="3" xr:uid="{00000000-0005-0000-0000-000003000000}"/>
    <cellStyle name="Currency [0]" xfId="4" xr:uid="{00000000-0005-0000-0000-000004000000}"/>
    <cellStyle name="Normal" xfId="0" builtinId="0"/>
    <cellStyle name="Percent" xfId="5" xr:uid="{00000000-0005-0000-0000-000005000000}"/>
  </cellStyles>
  <dxfs count="91">
    <dxf>
      <font>
        <color rgb="FF000000"/>
      </font>
      <fill>
        <patternFill>
          <bgColor rgb="FFFFC7CE"/>
        </patternFill>
      </fill>
    </dxf>
    <dxf>
      <fill>
        <patternFill>
          <bgColor rgb="FFC6E0B4"/>
        </patternFill>
      </fill>
    </dxf>
    <dxf>
      <fill>
        <patternFill>
          <bgColor rgb="FFFFE699"/>
        </patternFill>
      </fill>
    </dxf>
    <dxf>
      <fill>
        <patternFill>
          <bgColor rgb="FFF4B6B6"/>
        </patternFill>
      </fill>
    </dxf>
    <dxf>
      <fill>
        <patternFill>
          <bgColor rgb="FFFFE699"/>
        </patternFill>
      </fill>
    </dxf>
    <dxf>
      <fill>
        <patternFill>
          <bgColor rgb="FFC6E0B4"/>
        </patternFill>
      </fill>
    </dxf>
    <dxf>
      <fill>
        <patternFill>
          <bgColor rgb="FFF4B6B6"/>
        </patternFill>
      </fill>
    </dxf>
    <dxf>
      <fill>
        <patternFill>
          <bgColor rgb="FFF4B6B6"/>
        </patternFill>
      </fill>
    </dxf>
    <dxf>
      <fill>
        <patternFill>
          <bgColor rgb="FFC6E0B4"/>
        </patternFill>
      </fill>
    </dxf>
    <dxf>
      <fill>
        <patternFill>
          <bgColor rgb="FFC6E0B4"/>
        </patternFill>
      </fill>
    </dxf>
    <dxf>
      <fill>
        <patternFill>
          <bgColor rgb="FFFFE699"/>
        </patternFill>
      </fill>
    </dxf>
    <dxf>
      <fill>
        <patternFill>
          <bgColor rgb="FFF4B6B6"/>
        </patternFill>
      </fill>
    </dxf>
    <dxf>
      <fill>
        <patternFill>
          <bgColor rgb="FFFFE699"/>
        </patternFill>
      </fill>
    </dxf>
    <dxf>
      <fill>
        <patternFill>
          <bgColor rgb="FFC6E0B4"/>
        </patternFill>
      </fill>
    </dxf>
    <dxf>
      <fill>
        <patternFill>
          <bgColor rgb="FFC6E0B4"/>
        </patternFill>
      </fill>
    </dxf>
    <dxf>
      <fill>
        <patternFill>
          <bgColor rgb="FFF4B6B6"/>
        </patternFill>
      </fill>
    </dxf>
    <dxf>
      <fill>
        <patternFill>
          <bgColor rgb="FFFFE699"/>
        </patternFill>
      </fill>
    </dxf>
    <dxf>
      <fill>
        <patternFill>
          <bgColor rgb="FFC6E0B4"/>
        </patternFill>
      </fill>
    </dxf>
    <dxf>
      <fill>
        <patternFill>
          <bgColor rgb="FFF4B6B6"/>
        </patternFill>
      </fill>
    </dxf>
    <dxf>
      <fill>
        <patternFill>
          <bgColor rgb="FFF4B6B6"/>
        </patternFill>
      </fill>
    </dxf>
    <dxf>
      <fill>
        <patternFill>
          <bgColor rgb="FFFFE699"/>
        </patternFill>
      </fill>
    </dxf>
    <dxf>
      <fill>
        <patternFill>
          <bgColor rgb="FFF4B6B6"/>
        </patternFill>
      </fill>
    </dxf>
    <dxf>
      <fill>
        <patternFill>
          <bgColor rgb="FFC6E0B4"/>
        </patternFill>
      </fill>
    </dxf>
    <dxf>
      <fill>
        <patternFill>
          <bgColor rgb="FFF4B6B6"/>
        </patternFill>
      </fill>
    </dxf>
    <dxf>
      <fill>
        <patternFill>
          <bgColor rgb="FFF4B6B6"/>
        </patternFill>
      </fill>
    </dxf>
    <dxf>
      <fill>
        <patternFill>
          <bgColor rgb="FFF4B6B6"/>
        </patternFill>
      </fill>
    </dxf>
    <dxf>
      <fill>
        <patternFill>
          <bgColor rgb="FFF4B6B6"/>
        </patternFill>
      </fill>
    </dxf>
    <dxf>
      <fill>
        <patternFill>
          <bgColor rgb="FFFFE699"/>
        </patternFill>
      </fill>
    </dxf>
    <dxf>
      <fill>
        <patternFill>
          <bgColor rgb="FFF4B6B6"/>
        </patternFill>
      </fill>
    </dxf>
    <dxf>
      <fill>
        <patternFill>
          <bgColor rgb="FFC6E0B4"/>
        </patternFill>
      </fill>
    </dxf>
    <dxf>
      <fill>
        <patternFill>
          <bgColor rgb="FFFFE699"/>
        </patternFill>
      </fill>
    </dxf>
    <dxf>
      <fill>
        <patternFill>
          <bgColor rgb="FFF8CBAD"/>
        </patternFill>
      </fill>
    </dxf>
    <dxf>
      <fill>
        <patternFill>
          <bgColor rgb="FFF4B6B6"/>
        </patternFill>
      </fill>
    </dxf>
    <dxf>
      <fill>
        <patternFill>
          <bgColor rgb="FFF4B6B6"/>
        </patternFill>
      </fill>
    </dxf>
    <dxf>
      <fill>
        <patternFill>
          <bgColor rgb="FFC6E0B4"/>
        </patternFill>
      </fill>
    </dxf>
    <dxf>
      <fill>
        <patternFill>
          <bgColor rgb="FFFFE699"/>
        </patternFill>
      </fill>
    </dxf>
    <dxf>
      <fill>
        <patternFill>
          <bgColor rgb="FFFFE699"/>
        </patternFill>
      </fill>
    </dxf>
    <dxf>
      <fill>
        <patternFill>
          <bgColor rgb="FFF4B6B6"/>
        </patternFill>
      </fill>
    </dxf>
    <dxf>
      <fill>
        <patternFill>
          <bgColor rgb="FFF4B6B6"/>
        </patternFill>
      </fill>
    </dxf>
    <dxf>
      <fill>
        <patternFill>
          <bgColor rgb="FFFFE699"/>
        </patternFill>
      </fill>
    </dxf>
    <dxf>
      <fill>
        <patternFill>
          <bgColor rgb="FFC6E0B4"/>
        </patternFill>
      </fill>
    </dxf>
    <dxf>
      <fill>
        <patternFill>
          <bgColor rgb="FFF4B6B6"/>
        </patternFill>
      </fill>
    </dxf>
    <dxf>
      <fill>
        <patternFill>
          <bgColor rgb="FFF4B6B6"/>
        </patternFill>
      </fill>
    </dxf>
    <dxf>
      <fill>
        <patternFill>
          <bgColor rgb="FFFFE699"/>
        </patternFill>
      </fill>
    </dxf>
    <dxf>
      <fill>
        <patternFill>
          <bgColor rgb="FFC6E0B4"/>
        </patternFill>
      </fill>
    </dxf>
    <dxf>
      <fill>
        <patternFill>
          <bgColor rgb="FFFFE699"/>
        </patternFill>
      </fill>
    </dxf>
    <dxf>
      <fill>
        <patternFill>
          <bgColor rgb="FFF4B6B6"/>
        </patternFill>
      </fill>
    </dxf>
    <dxf>
      <fill>
        <patternFill>
          <bgColor rgb="FFFFE699"/>
        </patternFill>
      </fill>
    </dxf>
    <dxf>
      <fill>
        <patternFill>
          <bgColor rgb="FFC6E0B4"/>
        </patternFill>
      </fill>
    </dxf>
    <dxf>
      <fill>
        <patternFill>
          <bgColor rgb="FFFFE699"/>
        </patternFill>
      </fill>
    </dxf>
    <dxf>
      <fill>
        <patternFill>
          <bgColor rgb="FFF4B6B6"/>
        </patternFill>
      </fill>
    </dxf>
    <dxf>
      <fill>
        <patternFill>
          <bgColor rgb="FFC6E0B4"/>
        </patternFill>
      </fill>
    </dxf>
    <dxf>
      <fill>
        <patternFill>
          <bgColor rgb="FFFFE699"/>
        </patternFill>
      </fill>
    </dxf>
    <dxf>
      <fill>
        <patternFill>
          <bgColor rgb="FFF4B6B6"/>
        </patternFill>
      </fill>
    </dxf>
    <dxf>
      <fill>
        <patternFill>
          <bgColor rgb="FFC6E0B4"/>
        </patternFill>
      </fill>
    </dxf>
    <dxf>
      <fill>
        <patternFill>
          <bgColor rgb="FFFFE699"/>
        </patternFill>
      </fill>
    </dxf>
    <dxf>
      <fill>
        <patternFill>
          <bgColor rgb="FFF4B6B6"/>
        </patternFill>
      </fill>
    </dxf>
    <dxf>
      <fill>
        <patternFill>
          <bgColor rgb="FFF4B6B6"/>
        </patternFill>
      </fill>
    </dxf>
    <dxf>
      <fill>
        <patternFill>
          <bgColor rgb="FFFFE699"/>
        </patternFill>
      </fill>
    </dxf>
    <dxf>
      <fill>
        <patternFill>
          <bgColor rgb="FFF4B6B6"/>
        </patternFill>
      </fill>
    </dxf>
    <dxf>
      <fill>
        <patternFill>
          <bgColor rgb="FFFFE699"/>
        </patternFill>
      </fill>
    </dxf>
    <dxf>
      <fill>
        <patternFill>
          <bgColor rgb="FFF4B6B6"/>
        </patternFill>
      </fill>
    </dxf>
    <dxf>
      <fill>
        <patternFill>
          <bgColor rgb="FFFFE699"/>
        </patternFill>
      </fill>
    </dxf>
    <dxf>
      <fill>
        <patternFill>
          <bgColor rgb="FFFFE699"/>
        </patternFill>
      </fill>
    </dxf>
    <dxf>
      <fill>
        <patternFill>
          <bgColor rgb="FFF4B6B6"/>
        </patternFill>
      </fill>
    </dxf>
    <dxf>
      <fill>
        <patternFill>
          <bgColor rgb="FFC6E0B4"/>
        </patternFill>
      </fill>
    </dxf>
    <dxf>
      <fill>
        <patternFill>
          <bgColor rgb="FFF4B6B6"/>
        </patternFill>
      </fill>
    </dxf>
    <dxf>
      <fill>
        <patternFill>
          <bgColor rgb="FFF4B6B6"/>
        </patternFill>
      </fill>
    </dxf>
    <dxf>
      <fill>
        <patternFill>
          <bgColor rgb="FFFFE699"/>
        </patternFill>
      </fill>
    </dxf>
    <dxf>
      <fill>
        <patternFill>
          <bgColor rgb="FFF4B6B6"/>
        </patternFill>
      </fill>
    </dxf>
    <dxf>
      <fill>
        <patternFill>
          <bgColor rgb="FFC6E0B4"/>
        </patternFill>
      </fill>
    </dxf>
    <dxf>
      <fill>
        <patternFill>
          <bgColor rgb="FFFFE699"/>
        </patternFill>
      </fill>
    </dxf>
    <dxf>
      <fill>
        <patternFill>
          <bgColor rgb="FFF4B6B6"/>
        </patternFill>
      </fill>
    </dxf>
    <dxf>
      <fill>
        <patternFill>
          <bgColor rgb="FFC6E0B4"/>
        </patternFill>
      </fill>
    </dxf>
    <dxf>
      <fill>
        <patternFill>
          <bgColor rgb="FFFFE699"/>
        </patternFill>
      </fill>
    </dxf>
    <dxf>
      <fill>
        <patternFill>
          <bgColor rgb="FFF8CBAD"/>
        </patternFill>
      </fill>
    </dxf>
    <dxf>
      <fill>
        <patternFill>
          <bgColor rgb="FFF4B6B6"/>
        </patternFill>
      </fill>
    </dxf>
    <dxf>
      <fill>
        <patternFill>
          <bgColor rgb="FFC6E0B4"/>
        </patternFill>
      </fill>
    </dxf>
    <dxf>
      <fill>
        <patternFill>
          <bgColor rgb="FFFFE699"/>
        </patternFill>
      </fill>
    </dxf>
    <dxf>
      <fill>
        <patternFill>
          <bgColor rgb="FFF8CBAD"/>
        </patternFill>
      </fill>
    </dxf>
    <dxf>
      <fill>
        <patternFill>
          <bgColor rgb="FFF4B6B6"/>
        </patternFill>
      </fill>
    </dxf>
    <dxf>
      <fill>
        <patternFill>
          <bgColor rgb="FFC6E0B4"/>
        </patternFill>
      </fill>
    </dxf>
    <dxf>
      <fill>
        <patternFill>
          <bgColor rgb="FFF4B6B6"/>
        </patternFill>
      </fill>
    </dxf>
    <dxf>
      <fill>
        <patternFill>
          <bgColor rgb="FFF4B6B6"/>
        </patternFill>
      </fill>
    </dxf>
    <dxf>
      <fill>
        <patternFill>
          <bgColor rgb="FFF4B6B6"/>
        </patternFill>
      </fill>
    </dxf>
    <dxf>
      <fill>
        <patternFill>
          <bgColor rgb="FFF4B6B6"/>
        </patternFill>
      </fill>
    </dxf>
    <dxf>
      <fill>
        <patternFill>
          <bgColor rgb="FFF4B6B6"/>
        </patternFill>
      </fill>
    </dxf>
    <dxf>
      <fill>
        <patternFill>
          <bgColor rgb="FFF4B6B6"/>
        </patternFill>
      </fill>
    </dxf>
    <dxf>
      <fill>
        <patternFill>
          <bgColor rgb="FFF4B6B6"/>
        </patternFill>
      </fill>
    </dxf>
    <dxf>
      <fill>
        <patternFill>
          <bgColor rgb="FFF4B6B6"/>
        </patternFill>
      </fill>
    </dxf>
    <dxf>
      <fill>
        <patternFill>
          <bgColor rgb="FFF4B6B6"/>
        </patternFill>
      </fill>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548235"/>
      <rgbColor rgb="FF800080"/>
      <rgbColor rgb="FF008080"/>
      <rgbColor rgb="FFBFBFBF"/>
      <rgbColor rgb="FF878787"/>
      <rgbColor rgb="FF9999FF"/>
      <rgbColor rgb="FFC0504D"/>
      <rgbColor rgb="FFFFF9E5"/>
      <rgbColor rgb="FFF2F2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6E0B4"/>
      <rgbColor rgb="FFFFE699"/>
      <rgbColor rgb="FF99CCFF"/>
      <rgbColor rgb="FFF4B6B6"/>
      <rgbColor rgb="FFCC99FF"/>
      <rgbColor rgb="FFF8CBAD"/>
      <rgbColor rgb="FF4F81BD"/>
      <rgbColor rgb="FF33CCCC"/>
      <rgbColor rgb="FF99CC00"/>
      <rgbColor rgb="FFFFCC00"/>
      <rgbColor rgb="FFBF8F00"/>
      <rgbColor rgb="FFFF6600"/>
      <rgbColor rgb="FF595959"/>
      <rgbColor rgb="FF969696"/>
      <rgbColor rgb="FF1F3864"/>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GB" sz="1800" b="1" spc="-1">
                <a:solidFill>
                  <a:srgbClr val="000000"/>
                </a:solidFill>
                <a:latin typeface="Calibri"/>
                <a:ea typeface="Calibri"/>
                <a:cs typeface="Calibri"/>
              </a:rPr>
              <a:t>Inherent vs residual by rating</a:t>
            </a:r>
          </a:p>
        </c:rich>
      </c:tx>
      <c:overlay val="0"/>
    </c:title>
    <c:autoTitleDeleted val="0"/>
    <c:plotArea>
      <c:layout/>
      <c:barChart>
        <c:barDir val="col"/>
        <c:grouping val="clustered"/>
        <c:varyColors val="0"/>
        <c:ser>
          <c:idx val="0"/>
          <c:order val="0"/>
          <c:tx>
            <c:strRef>
              <c:f>Dashboard!$F$14</c:f>
              <c:strCache>
                <c:ptCount val="1"/>
                <c:pt idx="0">
                  <c:v>Inherent</c:v>
                </c:pt>
              </c:strCache>
            </c:strRef>
          </c:tx>
          <c:spPr>
            <a:solidFill>
              <a:srgbClr val="4F81BD"/>
            </a:solidFill>
            <a:ln w="0">
              <a:noFill/>
            </a:ln>
          </c:spPr>
          <c:invertIfNegative val="1"/>
          <c:dLbls>
            <c:spPr>
              <a:noFill/>
              <a:ln>
                <a:noFill/>
              </a:ln>
              <a:effectLst/>
            </c:spPr>
            <c:txPr>
              <a:bodyPr anchorCtr="1"/>
              <a:lstStyle/>
              <a:p>
                <a:pPr>
                  <a:defRPr sz="1000" b="0" spc="-1">
                    <a:latin typeface="Arial"/>
                    <a:ea typeface="Arial"/>
                    <a:cs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Dashboard!$E$15:$E$18</c:f>
              <c:strCache>
                <c:ptCount val="4"/>
                <c:pt idx="0">
                  <c:v>Low</c:v>
                </c:pt>
                <c:pt idx="1">
                  <c:v>Medium</c:v>
                </c:pt>
                <c:pt idx="2">
                  <c:v>High</c:v>
                </c:pt>
                <c:pt idx="3">
                  <c:v>Critical</c:v>
                </c:pt>
              </c:strCache>
            </c:strRef>
          </c:cat>
          <c:val>
            <c:numRef>
              <c:f>Dashboard!$F$15:$F$18</c:f>
              <c:numCache>
                <c:formatCode>General</c:formatCode>
                <c:ptCount val="4"/>
                <c:pt idx="0">
                  <c:v>0</c:v>
                </c:pt>
                <c:pt idx="1">
                  <c:v>2</c:v>
                </c:pt>
                <c:pt idx="2">
                  <c:v>5</c:v>
                </c:pt>
                <c:pt idx="3">
                  <c:v>1</c:v>
                </c:pt>
              </c:numCache>
            </c:numRef>
          </c:val>
          <c:extLst>
            <c:ext xmlns:c14="http://schemas.microsoft.com/office/drawing/2007/8/2/chart" uri="{6F2FDCE9-48DA-4B69-8628-5D25D57E5C99}">
              <c14:invertSolidFillFmt>
                <c14:spPr xmlns:c14="http://schemas.microsoft.com/office/drawing/2007/8/2/chart">
                  <a:solidFill>
                    <a:srgbClr val="FFFFFF"/>
                  </a:solidFill>
                  <a:ln w="0">
                    <a:noFill/>
                  </a:ln>
                </c14:spPr>
              </c14:invertSolidFillFmt>
            </c:ext>
            <c:ext xmlns:c16="http://schemas.microsoft.com/office/drawing/2014/chart" uri="{C3380CC4-5D6E-409C-BE32-E72D297353CC}">
              <c16:uniqueId val="{00000000-7C9E-4208-B3EC-21FCC9D2CD13}"/>
            </c:ext>
          </c:extLst>
        </c:ser>
        <c:ser>
          <c:idx val="1"/>
          <c:order val="1"/>
          <c:tx>
            <c:strRef>
              <c:f>Dashboard!$G$14</c:f>
              <c:strCache>
                <c:ptCount val="1"/>
                <c:pt idx="0">
                  <c:v>Residual</c:v>
                </c:pt>
              </c:strCache>
            </c:strRef>
          </c:tx>
          <c:spPr>
            <a:solidFill>
              <a:srgbClr val="C0504D"/>
            </a:solidFill>
            <a:ln w="0">
              <a:noFill/>
            </a:ln>
          </c:spPr>
          <c:invertIfNegative val="1"/>
          <c:dLbls>
            <c:spPr>
              <a:noFill/>
              <a:ln>
                <a:noFill/>
              </a:ln>
              <a:effectLst/>
            </c:spPr>
            <c:txPr>
              <a:bodyPr anchorCtr="1"/>
              <a:lstStyle/>
              <a:p>
                <a:pPr>
                  <a:defRPr sz="1000" b="0" spc="-1">
                    <a:latin typeface="Arial"/>
                    <a:ea typeface="Arial"/>
                    <a:cs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Dashboard!$E$15:$E$18</c:f>
              <c:strCache>
                <c:ptCount val="4"/>
                <c:pt idx="0">
                  <c:v>Low</c:v>
                </c:pt>
                <c:pt idx="1">
                  <c:v>Medium</c:v>
                </c:pt>
                <c:pt idx="2">
                  <c:v>High</c:v>
                </c:pt>
                <c:pt idx="3">
                  <c:v>Critical</c:v>
                </c:pt>
              </c:strCache>
            </c:strRef>
          </c:cat>
          <c:val>
            <c:numRef>
              <c:f>Dashboard!$G$15:$G$18</c:f>
              <c:numCache>
                <c:formatCode>General</c:formatCode>
                <c:ptCount val="4"/>
                <c:pt idx="0">
                  <c:v>0</c:v>
                </c:pt>
                <c:pt idx="1">
                  <c:v>4</c:v>
                </c:pt>
                <c:pt idx="2">
                  <c:v>4</c:v>
                </c:pt>
                <c:pt idx="3">
                  <c:v>0</c:v>
                </c:pt>
              </c:numCache>
            </c:numRef>
          </c:val>
          <c:extLst>
            <c:ext xmlns:c14="http://schemas.microsoft.com/office/drawing/2007/8/2/chart" uri="{6F2FDCE9-48DA-4B69-8628-5D25D57E5C99}">
              <c14:invertSolidFillFmt>
                <c14:spPr xmlns:c14="http://schemas.microsoft.com/office/drawing/2007/8/2/chart">
                  <a:solidFill>
                    <a:srgbClr val="FFFFFF"/>
                  </a:solidFill>
                  <a:ln w="0">
                    <a:noFill/>
                  </a:ln>
                </c14:spPr>
              </c14:invertSolidFillFmt>
            </c:ext>
            <c:ext xmlns:c16="http://schemas.microsoft.com/office/drawing/2014/chart" uri="{C3380CC4-5D6E-409C-BE32-E72D297353CC}">
              <c16:uniqueId val="{00000001-7C9E-4208-B3EC-21FCC9D2CD13}"/>
            </c:ext>
          </c:extLst>
        </c:ser>
        <c:dLbls>
          <c:showLegendKey val="0"/>
          <c:showVal val="0"/>
          <c:showCatName val="0"/>
          <c:showSerName val="0"/>
          <c:showPercent val="0"/>
          <c:showBubbleSize val="0"/>
        </c:dLbls>
        <c:gapWidth val="150"/>
        <c:axId val="51623911"/>
        <c:axId val="12408907"/>
      </c:barChart>
      <c:catAx>
        <c:axId val="51623911"/>
        <c:scaling>
          <c:orientation val="minMax"/>
        </c:scaling>
        <c:delete val="0"/>
        <c:axPos val="b"/>
        <c:numFmt formatCode="General" sourceLinked="1"/>
        <c:majorTickMark val="none"/>
        <c:minorTickMark val="none"/>
        <c:tickLblPos val="nextTo"/>
        <c:spPr>
          <a:ln w="9360">
            <a:solidFill>
              <a:srgbClr val="878787"/>
            </a:solidFill>
          </a:ln>
        </c:spPr>
        <c:txPr>
          <a:bodyPr anchorCtr="1"/>
          <a:lstStyle/>
          <a:p>
            <a:pPr>
              <a:defRPr sz="1000" b="0" spc="-1">
                <a:solidFill>
                  <a:srgbClr val="000000"/>
                </a:solidFill>
                <a:latin typeface="Calibri"/>
                <a:ea typeface="Calibri"/>
                <a:cs typeface="Calibri"/>
              </a:defRPr>
            </a:pPr>
            <a:endParaRPr lang="en-US"/>
          </a:p>
        </c:txPr>
        <c:crossAx val="12408907"/>
        <c:crosses val="autoZero"/>
        <c:auto val="1"/>
        <c:lblAlgn val="ctr"/>
        <c:lblOffset val="100"/>
        <c:noMultiLvlLbl val="1"/>
      </c:catAx>
      <c:valAx>
        <c:axId val="12408907"/>
        <c:scaling>
          <c:orientation val="minMax"/>
        </c:scaling>
        <c:delete val="0"/>
        <c:axPos val="l"/>
        <c:majorGridlines>
          <c:spPr>
            <a:ln w="9360">
              <a:solidFill>
                <a:srgbClr val="878787"/>
              </a:solidFill>
            </a:ln>
          </c:spPr>
        </c:majorGridlines>
        <c:title>
          <c:tx>
            <c:rich>
              <a:bodyPr/>
              <a:lstStyle/>
              <a:p>
                <a:r>
                  <a:rPr lang="en-GB" sz="1000" b="1" spc="-1">
                    <a:solidFill>
                      <a:srgbClr val="000000"/>
                    </a:solidFill>
                    <a:latin typeface="Calibri"/>
                    <a:ea typeface="Calibri"/>
                    <a:cs typeface="Calibri"/>
                  </a:rPr>
                  <a:t>Risks</a:t>
                </a:r>
              </a:p>
            </c:rich>
          </c:tx>
          <c:overlay val="0"/>
        </c:title>
        <c:numFmt formatCode="General" sourceLinked="1"/>
        <c:majorTickMark val="none"/>
        <c:minorTickMark val="none"/>
        <c:tickLblPos val="nextTo"/>
        <c:spPr>
          <a:ln w="9360">
            <a:solidFill>
              <a:srgbClr val="878787"/>
            </a:solidFill>
          </a:ln>
        </c:spPr>
        <c:txPr>
          <a:bodyPr anchorCtr="1"/>
          <a:lstStyle/>
          <a:p>
            <a:pPr>
              <a:defRPr sz="1000" b="0" spc="-1">
                <a:solidFill>
                  <a:srgbClr val="000000"/>
                </a:solidFill>
                <a:latin typeface="Calibri"/>
                <a:ea typeface="Calibri"/>
                <a:cs typeface="Calibri"/>
              </a:defRPr>
            </a:pPr>
            <a:endParaRPr lang="en-US"/>
          </a:p>
        </c:txPr>
        <c:crossAx val="51623911"/>
        <c:crosses val="autoZero"/>
        <c:crossBetween val="between"/>
      </c:valAx>
      <c:spPr>
        <a:noFill/>
        <a:ln w="0">
          <a:noFill/>
        </a:ln>
      </c:spPr>
    </c:plotArea>
    <c:legend>
      <c:legendPos val="r"/>
      <c:overlay val="0"/>
      <c:spPr>
        <a:noFill/>
      </c:spPr>
      <c:txPr>
        <a:bodyPr anchorCtr="1"/>
        <a:lstStyle/>
        <a:p>
          <a:pPr>
            <a:defRPr sz="1000" b="0" spc="-1">
              <a:solidFill>
                <a:srgbClr val="000000"/>
              </a:solidFill>
              <a:latin typeface="Calibri"/>
              <a:ea typeface="Calibri"/>
              <a:cs typeface="Calibri"/>
            </a:defRPr>
          </a:pPr>
          <a:endParaRPr lang="en-US"/>
        </a:p>
      </c:txPr>
    </c:legend>
    <c:plotVisOnly val="1"/>
    <c:dispBlanksAs val="zero"/>
    <c:showDLblsOverMax val="1"/>
  </c:chart>
  <c:spPr>
    <a:solidFill>
      <a:srgbClr val="FFFFFF"/>
    </a:solidFill>
    <a:ln w="9360">
      <a:solidFill>
        <a:srgbClr val="D9D9D9"/>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GB" sz="1800" b="1" spc="-1">
                <a:solidFill>
                  <a:srgbClr val="000000"/>
                </a:solidFill>
                <a:latin typeface="Calibri"/>
                <a:ea typeface="Calibri"/>
                <a:cs typeface="Calibri"/>
              </a:rPr>
              <a:t>Breaches by category</a:t>
            </a:r>
          </a:p>
        </c:rich>
      </c:tx>
      <c:overlay val="0"/>
    </c:title>
    <c:autoTitleDeleted val="0"/>
    <c:plotArea>
      <c:layout/>
      <c:barChart>
        <c:barDir val="bar"/>
        <c:grouping val="clustered"/>
        <c:varyColors val="0"/>
        <c:ser>
          <c:idx val="0"/>
          <c:order val="0"/>
          <c:tx>
            <c:strRef>
              <c:f>Dashboard!$E$30</c:f>
              <c:strCache>
                <c:ptCount val="1"/>
                <c:pt idx="0">
                  <c:v>Appetite breaches</c:v>
                </c:pt>
              </c:strCache>
            </c:strRef>
          </c:tx>
          <c:spPr>
            <a:solidFill>
              <a:srgbClr val="4F81BD"/>
            </a:solidFill>
            <a:ln w="0">
              <a:noFill/>
            </a:ln>
          </c:spPr>
          <c:invertIfNegative val="1"/>
          <c:dLbls>
            <c:spPr>
              <a:noFill/>
              <a:ln>
                <a:noFill/>
              </a:ln>
              <a:effectLst/>
            </c:spPr>
            <c:txPr>
              <a:bodyPr anchorCtr="1"/>
              <a:lstStyle/>
              <a:p>
                <a:pPr>
                  <a:defRPr sz="1000" b="0" spc="-1">
                    <a:latin typeface="Arial"/>
                    <a:ea typeface="Arial"/>
                    <a:cs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Dashboard!$A$31:$A$42</c:f>
              <c:strCache>
                <c:ptCount val="9"/>
                <c:pt idx="0">
                  <c:v>Strategic</c:v>
                </c:pt>
                <c:pt idx="1">
                  <c:v>Operational</c:v>
                </c:pt>
                <c:pt idx="2">
                  <c:v>Cyber &amp; Information Security</c:v>
                </c:pt>
                <c:pt idx="3">
                  <c:v>Compliance &amp; Regulatory</c:v>
                </c:pt>
                <c:pt idx="4">
                  <c:v>Financial</c:v>
                </c:pt>
                <c:pt idx="5">
                  <c:v>Third-Party</c:v>
                </c:pt>
                <c:pt idx="6">
                  <c:v>Technology</c:v>
                </c:pt>
                <c:pt idx="7">
                  <c:v>Data Privacy</c:v>
                </c:pt>
                <c:pt idx="8">
                  <c:v>People</c:v>
                </c:pt>
              </c:strCache>
            </c:strRef>
          </c:cat>
          <c:val>
            <c:numRef>
              <c:f>Dashboard!$E$31:$E$42</c:f>
              <c:numCache>
                <c:formatCode>General</c:formatCode>
                <c:ptCount val="12"/>
                <c:pt idx="0">
                  <c:v>0</c:v>
                </c:pt>
                <c:pt idx="1">
                  <c:v>0</c:v>
                </c:pt>
                <c:pt idx="2">
                  <c:v>0</c:v>
                </c:pt>
                <c:pt idx="3">
                  <c:v>1</c:v>
                </c:pt>
                <c:pt idx="4">
                  <c:v>0</c:v>
                </c:pt>
                <c:pt idx="5">
                  <c:v>0</c:v>
                </c:pt>
                <c:pt idx="6">
                  <c:v>1</c:v>
                </c:pt>
                <c:pt idx="7">
                  <c:v>1</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w="0">
                    <a:noFill/>
                  </a:ln>
                </c14:spPr>
              </c14:invertSolidFillFmt>
            </c:ext>
            <c:ext xmlns:c16="http://schemas.microsoft.com/office/drawing/2014/chart" uri="{C3380CC4-5D6E-409C-BE32-E72D297353CC}">
              <c16:uniqueId val="{00000000-7B68-4D21-AD18-CFFA08ED487F}"/>
            </c:ext>
          </c:extLst>
        </c:ser>
        <c:ser>
          <c:idx val="1"/>
          <c:order val="1"/>
          <c:tx>
            <c:strRef>
              <c:f>Dashboard!$F$30</c:f>
              <c:strCache>
                <c:ptCount val="1"/>
                <c:pt idx="0">
                  <c:v>Tolerance breaches</c:v>
                </c:pt>
              </c:strCache>
            </c:strRef>
          </c:tx>
          <c:spPr>
            <a:solidFill>
              <a:srgbClr val="C0504D"/>
            </a:solidFill>
            <a:ln w="0">
              <a:noFill/>
            </a:ln>
          </c:spPr>
          <c:invertIfNegative val="1"/>
          <c:dLbls>
            <c:spPr>
              <a:noFill/>
              <a:ln>
                <a:noFill/>
              </a:ln>
              <a:effectLst/>
            </c:spPr>
            <c:txPr>
              <a:bodyPr anchorCtr="1"/>
              <a:lstStyle/>
              <a:p>
                <a:pPr>
                  <a:defRPr sz="1000" b="0" spc="-1">
                    <a:latin typeface="Arial"/>
                    <a:ea typeface="Arial"/>
                    <a:cs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Dashboard!$A$31:$A$42</c:f>
              <c:strCache>
                <c:ptCount val="9"/>
                <c:pt idx="0">
                  <c:v>Strategic</c:v>
                </c:pt>
                <c:pt idx="1">
                  <c:v>Operational</c:v>
                </c:pt>
                <c:pt idx="2">
                  <c:v>Cyber &amp; Information Security</c:v>
                </c:pt>
                <c:pt idx="3">
                  <c:v>Compliance &amp; Regulatory</c:v>
                </c:pt>
                <c:pt idx="4">
                  <c:v>Financial</c:v>
                </c:pt>
                <c:pt idx="5">
                  <c:v>Third-Party</c:v>
                </c:pt>
                <c:pt idx="6">
                  <c:v>Technology</c:v>
                </c:pt>
                <c:pt idx="7">
                  <c:v>Data Privacy</c:v>
                </c:pt>
                <c:pt idx="8">
                  <c:v>People</c:v>
                </c:pt>
              </c:strCache>
            </c:strRef>
          </c:cat>
          <c:val>
            <c:numRef>
              <c:f>Dashboard!$F$31:$F$42</c:f>
              <c:numCache>
                <c:formatCode>General</c:formatCode>
                <c:ptCount val="12"/>
                <c:pt idx="0">
                  <c:v>0</c:v>
                </c:pt>
                <c:pt idx="1">
                  <c:v>0</c:v>
                </c:pt>
                <c:pt idx="2">
                  <c:v>1</c:v>
                </c:pt>
                <c:pt idx="3">
                  <c:v>0</c:v>
                </c:pt>
                <c:pt idx="4">
                  <c:v>0</c:v>
                </c:pt>
                <c:pt idx="5">
                  <c:v>1</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w="0">
                    <a:noFill/>
                  </a:ln>
                </c14:spPr>
              </c14:invertSolidFillFmt>
            </c:ext>
            <c:ext xmlns:c16="http://schemas.microsoft.com/office/drawing/2014/chart" uri="{C3380CC4-5D6E-409C-BE32-E72D297353CC}">
              <c16:uniqueId val="{00000001-7B68-4D21-AD18-CFFA08ED487F}"/>
            </c:ext>
          </c:extLst>
        </c:ser>
        <c:dLbls>
          <c:showLegendKey val="0"/>
          <c:showVal val="0"/>
          <c:showCatName val="0"/>
          <c:showSerName val="0"/>
          <c:showPercent val="0"/>
          <c:showBubbleSize val="0"/>
        </c:dLbls>
        <c:gapWidth val="150"/>
        <c:axId val="29663335"/>
        <c:axId val="96390932"/>
      </c:barChart>
      <c:catAx>
        <c:axId val="29663335"/>
        <c:scaling>
          <c:orientation val="minMax"/>
        </c:scaling>
        <c:delete val="0"/>
        <c:axPos val="l"/>
        <c:numFmt formatCode="General" sourceLinked="1"/>
        <c:majorTickMark val="none"/>
        <c:minorTickMark val="none"/>
        <c:tickLblPos val="nextTo"/>
        <c:spPr>
          <a:ln w="9360">
            <a:solidFill>
              <a:srgbClr val="878787"/>
            </a:solidFill>
          </a:ln>
        </c:spPr>
        <c:txPr>
          <a:bodyPr anchorCtr="1"/>
          <a:lstStyle/>
          <a:p>
            <a:pPr>
              <a:defRPr sz="1000" b="0" spc="-1">
                <a:solidFill>
                  <a:srgbClr val="000000"/>
                </a:solidFill>
                <a:latin typeface="Calibri"/>
                <a:ea typeface="Calibri"/>
                <a:cs typeface="Calibri"/>
              </a:defRPr>
            </a:pPr>
            <a:endParaRPr lang="en-US"/>
          </a:p>
        </c:txPr>
        <c:crossAx val="96390932"/>
        <c:crosses val="autoZero"/>
        <c:auto val="1"/>
        <c:lblAlgn val="ctr"/>
        <c:lblOffset val="100"/>
        <c:noMultiLvlLbl val="1"/>
      </c:catAx>
      <c:valAx>
        <c:axId val="96390932"/>
        <c:scaling>
          <c:orientation val="minMax"/>
        </c:scaling>
        <c:delete val="0"/>
        <c:axPos val="b"/>
        <c:majorGridlines>
          <c:spPr>
            <a:ln w="9360">
              <a:solidFill>
                <a:srgbClr val="878787"/>
              </a:solidFill>
            </a:ln>
          </c:spPr>
        </c:majorGridlines>
        <c:numFmt formatCode="General" sourceLinked="1"/>
        <c:majorTickMark val="none"/>
        <c:minorTickMark val="none"/>
        <c:tickLblPos val="nextTo"/>
        <c:spPr>
          <a:ln w="9360">
            <a:solidFill>
              <a:srgbClr val="878787"/>
            </a:solidFill>
          </a:ln>
        </c:spPr>
        <c:txPr>
          <a:bodyPr anchorCtr="1"/>
          <a:lstStyle/>
          <a:p>
            <a:pPr>
              <a:defRPr sz="1000" b="0" spc="-1">
                <a:solidFill>
                  <a:srgbClr val="000000"/>
                </a:solidFill>
                <a:latin typeface="Calibri"/>
                <a:ea typeface="Calibri"/>
                <a:cs typeface="Calibri"/>
              </a:defRPr>
            </a:pPr>
            <a:endParaRPr lang="en-US"/>
          </a:p>
        </c:txPr>
        <c:crossAx val="29663335"/>
        <c:crosses val="autoZero"/>
        <c:crossBetween val="between"/>
      </c:valAx>
      <c:spPr>
        <a:noFill/>
        <a:ln w="0">
          <a:noFill/>
        </a:ln>
      </c:spPr>
    </c:plotArea>
    <c:legend>
      <c:legendPos val="r"/>
      <c:overlay val="0"/>
      <c:spPr>
        <a:noFill/>
      </c:spPr>
      <c:txPr>
        <a:bodyPr anchorCtr="1"/>
        <a:lstStyle/>
        <a:p>
          <a:pPr>
            <a:defRPr sz="1000" b="0" spc="-1">
              <a:solidFill>
                <a:srgbClr val="000000"/>
              </a:solidFill>
              <a:latin typeface="Calibri"/>
              <a:ea typeface="Calibri"/>
              <a:cs typeface="Calibri"/>
            </a:defRPr>
          </a:pPr>
          <a:endParaRPr lang="en-US"/>
        </a:p>
      </c:txPr>
    </c:legend>
    <c:plotVisOnly val="1"/>
    <c:dispBlanksAs val="zero"/>
    <c:showDLblsOverMax val="1"/>
  </c:chart>
  <c:spPr>
    <a:solidFill>
      <a:srgbClr val="FFFFFF"/>
    </a:solidFill>
    <a:ln w="9360">
      <a:solidFill>
        <a:srgbClr val="D9D9D9"/>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GB" sz="1800" b="1" spc="-1">
                <a:solidFill>
                  <a:srgbClr val="000000"/>
                </a:solidFill>
                <a:latin typeface="Calibri"/>
                <a:ea typeface="Calibri"/>
                <a:cs typeface="Calibri"/>
              </a:rPr>
              <a:t>Concentration index by driver (screening)</a:t>
            </a:r>
          </a:p>
        </c:rich>
      </c:tx>
      <c:overlay val="0"/>
    </c:title>
    <c:autoTitleDeleted val="0"/>
    <c:plotArea>
      <c:layout/>
      <c:barChart>
        <c:barDir val="bar"/>
        <c:grouping val="clustered"/>
        <c:varyColors val="0"/>
        <c:ser>
          <c:idx val="0"/>
          <c:order val="0"/>
          <c:tx>
            <c:strRef>
              <c:f>'Risk Aggregation'!$D$9</c:f>
              <c:strCache>
                <c:ptCount val="1"/>
                <c:pt idx="0">
                  <c:v>Concentration index (sum of residual scores)</c:v>
                </c:pt>
              </c:strCache>
            </c:strRef>
          </c:tx>
          <c:spPr>
            <a:solidFill>
              <a:srgbClr val="4F81BD"/>
            </a:solidFill>
            <a:ln w="0">
              <a:noFill/>
            </a:ln>
          </c:spPr>
          <c:invertIfNegative val="1"/>
          <c:dLbls>
            <c:spPr>
              <a:noFill/>
              <a:ln>
                <a:noFill/>
              </a:ln>
              <a:effectLst/>
            </c:spPr>
            <c:txPr>
              <a:bodyPr anchorCtr="1"/>
              <a:lstStyle/>
              <a:p>
                <a:pPr>
                  <a:defRPr sz="1000" b="0" spc="-1">
                    <a:latin typeface="Arial"/>
                    <a:ea typeface="Arial"/>
                    <a:cs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'Risk Aggregation'!$A$10:$A$29</c:f>
              <c:strCache>
                <c:ptCount val="4"/>
                <c:pt idx="0">
                  <c:v>Corporate network &amp; identity platform</c:v>
                </c:pt>
                <c:pt idx="1">
                  <c:v>Platform engineering team</c:v>
                </c:pt>
                <c:pt idx="2">
                  <c:v>Payroll SaaS provider</c:v>
                </c:pt>
                <c:pt idx="3">
                  <c:v>Anchor customer relationship</c:v>
                </c:pt>
              </c:strCache>
            </c:strRef>
          </c:cat>
          <c:val>
            <c:numRef>
              <c:f>'Risk Aggregation'!$D$10:$D$29</c:f>
              <c:numCache>
                <c:formatCode>General</c:formatCode>
                <c:ptCount val="20"/>
                <c:pt idx="0">
                  <c:v>39</c:v>
                </c:pt>
                <c:pt idx="1">
                  <c:v>39</c:v>
                </c:pt>
                <c:pt idx="2">
                  <c:v>24</c:v>
                </c:pt>
                <c:pt idx="3">
                  <c:v>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4="http://schemas.microsoft.com/office/drawing/2007/8/2/chart" uri="{6F2FDCE9-48DA-4B69-8628-5D25D57E5C99}">
              <c14:invertSolidFillFmt>
                <c14:spPr xmlns:c14="http://schemas.microsoft.com/office/drawing/2007/8/2/chart">
                  <a:solidFill>
                    <a:srgbClr val="FFFFFF"/>
                  </a:solidFill>
                  <a:ln w="0">
                    <a:noFill/>
                  </a:ln>
                </c14:spPr>
              </c14:invertSolidFillFmt>
            </c:ext>
            <c:ext xmlns:c16="http://schemas.microsoft.com/office/drawing/2014/chart" uri="{C3380CC4-5D6E-409C-BE32-E72D297353CC}">
              <c16:uniqueId val="{00000000-AA9C-4356-83FC-D63167201CBE}"/>
            </c:ext>
          </c:extLst>
        </c:ser>
        <c:dLbls>
          <c:showLegendKey val="0"/>
          <c:showVal val="0"/>
          <c:showCatName val="0"/>
          <c:showSerName val="0"/>
          <c:showPercent val="0"/>
          <c:showBubbleSize val="0"/>
        </c:dLbls>
        <c:gapWidth val="150"/>
        <c:axId val="31143589"/>
        <c:axId val="63419788"/>
      </c:barChart>
      <c:catAx>
        <c:axId val="31143589"/>
        <c:scaling>
          <c:orientation val="minMax"/>
        </c:scaling>
        <c:delete val="0"/>
        <c:axPos val="l"/>
        <c:numFmt formatCode="General" sourceLinked="1"/>
        <c:majorTickMark val="none"/>
        <c:minorTickMark val="none"/>
        <c:tickLblPos val="nextTo"/>
        <c:spPr>
          <a:ln w="9360">
            <a:solidFill>
              <a:srgbClr val="878787"/>
            </a:solidFill>
          </a:ln>
        </c:spPr>
        <c:txPr>
          <a:bodyPr anchorCtr="1"/>
          <a:lstStyle/>
          <a:p>
            <a:pPr>
              <a:defRPr sz="1000" b="0" spc="-1">
                <a:solidFill>
                  <a:srgbClr val="000000"/>
                </a:solidFill>
                <a:latin typeface="Calibri"/>
                <a:ea typeface="Calibri"/>
                <a:cs typeface="Calibri"/>
              </a:defRPr>
            </a:pPr>
            <a:endParaRPr lang="en-US"/>
          </a:p>
        </c:txPr>
        <c:crossAx val="63419788"/>
        <c:crosses val="autoZero"/>
        <c:auto val="1"/>
        <c:lblAlgn val="ctr"/>
        <c:lblOffset val="100"/>
        <c:noMultiLvlLbl val="1"/>
      </c:catAx>
      <c:valAx>
        <c:axId val="63419788"/>
        <c:scaling>
          <c:orientation val="minMax"/>
        </c:scaling>
        <c:delete val="0"/>
        <c:axPos val="b"/>
        <c:majorGridlines>
          <c:spPr>
            <a:ln w="9360">
              <a:solidFill>
                <a:srgbClr val="878787"/>
              </a:solidFill>
            </a:ln>
          </c:spPr>
        </c:majorGridlines>
        <c:numFmt formatCode="General" sourceLinked="1"/>
        <c:majorTickMark val="none"/>
        <c:minorTickMark val="none"/>
        <c:tickLblPos val="nextTo"/>
        <c:spPr>
          <a:ln w="9360">
            <a:solidFill>
              <a:srgbClr val="878787"/>
            </a:solidFill>
          </a:ln>
        </c:spPr>
        <c:txPr>
          <a:bodyPr anchorCtr="1"/>
          <a:lstStyle/>
          <a:p>
            <a:pPr>
              <a:defRPr sz="1000" b="0" spc="-1">
                <a:solidFill>
                  <a:srgbClr val="000000"/>
                </a:solidFill>
                <a:latin typeface="Calibri"/>
                <a:ea typeface="Calibri"/>
                <a:cs typeface="Calibri"/>
              </a:defRPr>
            </a:pPr>
            <a:endParaRPr lang="en-US"/>
          </a:p>
        </c:txPr>
        <c:crossAx val="31143589"/>
        <c:crosses val="autoZero"/>
        <c:crossBetween val="between"/>
      </c:valAx>
      <c:spPr>
        <a:noFill/>
        <a:ln w="0">
          <a:noFill/>
        </a:ln>
      </c:spPr>
    </c:plotArea>
    <c:plotVisOnly val="1"/>
    <c:dispBlanksAs val="zero"/>
    <c:showDLblsOverMax val="1"/>
  </c:chart>
  <c:spPr>
    <a:solidFill>
      <a:srgbClr val="FFFFFF"/>
    </a:solidFill>
    <a:ln w="9360">
      <a:solidFill>
        <a:srgbClr val="D9D9D9"/>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GB" sz="1800" b="1" spc="-1">
                <a:solidFill>
                  <a:srgbClr val="000000"/>
                </a:solidFill>
                <a:latin typeface="Calibri"/>
                <a:ea typeface="Calibri"/>
                <a:cs typeface="Calibri"/>
              </a:rPr>
              <a:t>Appetite and tolerance breaches by snapshot</a:t>
            </a:r>
          </a:p>
        </c:rich>
      </c:tx>
      <c:overlay val="0"/>
    </c:title>
    <c:autoTitleDeleted val="0"/>
    <c:plotArea>
      <c:layout/>
      <c:barChart>
        <c:barDir val="col"/>
        <c:grouping val="clustered"/>
        <c:varyColors val="0"/>
        <c:ser>
          <c:idx val="0"/>
          <c:order val="0"/>
          <c:tx>
            <c:strRef>
              <c:f>'Snapshot Trends'!$F$8</c:f>
              <c:strCache>
                <c:ptCount val="1"/>
                <c:pt idx="0">
                  <c:v>Appetite breaches (all)</c:v>
                </c:pt>
              </c:strCache>
            </c:strRef>
          </c:tx>
          <c:spPr>
            <a:solidFill>
              <a:srgbClr val="4F81BD"/>
            </a:solidFill>
            <a:ln w="0">
              <a:noFill/>
            </a:ln>
          </c:spPr>
          <c:invertIfNegative val="1"/>
          <c:dLbls>
            <c:spPr>
              <a:noFill/>
              <a:ln>
                <a:noFill/>
              </a:ln>
              <a:effectLst/>
            </c:spPr>
            <c:txPr>
              <a:bodyPr anchorCtr="1"/>
              <a:lstStyle/>
              <a:p>
                <a:pPr>
                  <a:defRPr sz="1000" b="0" spc="-1">
                    <a:latin typeface="Arial"/>
                    <a:ea typeface="Arial"/>
                    <a:cs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[0]!SnapshotChartDates</c:f>
              <c:numCache>
                <c:formatCode>dd\ mmm\ yyyy</c:formatCode>
                <c:ptCount val="2"/>
                <c:pt idx="0">
                  <c:v>46265</c:v>
                </c:pt>
                <c:pt idx="1">
                  <c:v>46295</c:v>
                </c:pt>
              </c:numCache>
            </c:numRef>
          </c:cat>
          <c:val>
            <c:numRef>
              <c:f>[0]!SnapshotChartAppetite</c:f>
              <c:numCache>
                <c:formatCode>General</c:formatCode>
                <c:ptCount val="2"/>
                <c:pt idx="0">
                  <c:v>4</c:v>
                </c:pt>
                <c:pt idx="1">
                  <c:v>5</c:v>
                </c:pt>
              </c:numCache>
            </c:numRef>
          </c:val>
          <c:extLst>
            <c:ext xmlns:c14="http://schemas.microsoft.com/office/drawing/2007/8/2/chart" uri="{6F2FDCE9-48DA-4B69-8628-5D25D57E5C99}">
              <c14:invertSolidFillFmt>
                <c14:spPr xmlns:c14="http://schemas.microsoft.com/office/drawing/2007/8/2/chart">
                  <a:solidFill>
                    <a:srgbClr val="FFFFFF"/>
                  </a:solidFill>
                  <a:ln w="0">
                    <a:noFill/>
                  </a:ln>
                </c14:spPr>
              </c14:invertSolidFillFmt>
            </c:ext>
            <c:ext xmlns:c16="http://schemas.microsoft.com/office/drawing/2014/chart" uri="{C3380CC4-5D6E-409C-BE32-E72D297353CC}">
              <c16:uniqueId val="{00000000-4EDD-48E5-A2A0-840EA7CC1485}"/>
            </c:ext>
          </c:extLst>
        </c:ser>
        <c:ser>
          <c:idx val="1"/>
          <c:order val="1"/>
          <c:tx>
            <c:strRef>
              <c:f>'Snapshot Trends'!$G$8</c:f>
              <c:strCache>
                <c:ptCount val="1"/>
                <c:pt idx="0">
                  <c:v>Tolerance breaches</c:v>
                </c:pt>
              </c:strCache>
            </c:strRef>
          </c:tx>
          <c:spPr>
            <a:solidFill>
              <a:srgbClr val="C0504D"/>
            </a:solidFill>
            <a:ln w="0">
              <a:noFill/>
            </a:ln>
          </c:spPr>
          <c:invertIfNegative val="1"/>
          <c:dLbls>
            <c:spPr>
              <a:noFill/>
              <a:ln>
                <a:noFill/>
              </a:ln>
              <a:effectLst/>
            </c:spPr>
            <c:txPr>
              <a:bodyPr anchorCtr="1"/>
              <a:lstStyle/>
              <a:p>
                <a:pPr>
                  <a:defRPr sz="1000" b="0" spc="-1">
                    <a:latin typeface="Arial"/>
                    <a:ea typeface="Arial"/>
                    <a:cs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[0]!SnapshotChartDates</c:f>
              <c:numCache>
                <c:formatCode>dd\ mmm\ yyyy</c:formatCode>
                <c:ptCount val="2"/>
                <c:pt idx="0">
                  <c:v>46265</c:v>
                </c:pt>
                <c:pt idx="1">
                  <c:v>46295</c:v>
                </c:pt>
              </c:numCache>
            </c:numRef>
          </c:cat>
          <c:val>
            <c:numRef>
              <c:f>[0]!SnapshotChartTolerance</c:f>
              <c:numCache>
                <c:formatCode>General</c:formatCode>
                <c:ptCount val="2"/>
                <c:pt idx="0">
                  <c:v>2</c:v>
                </c:pt>
                <c:pt idx="1">
                  <c:v>2</c:v>
                </c:pt>
              </c:numCache>
            </c:numRef>
          </c:val>
          <c:extLst>
            <c:ext xmlns:c14="http://schemas.microsoft.com/office/drawing/2007/8/2/chart" uri="{6F2FDCE9-48DA-4B69-8628-5D25D57E5C99}">
              <c14:invertSolidFillFmt>
                <c14:spPr xmlns:c14="http://schemas.microsoft.com/office/drawing/2007/8/2/chart">
                  <a:solidFill>
                    <a:srgbClr val="FFFFFF"/>
                  </a:solidFill>
                  <a:ln w="0">
                    <a:noFill/>
                  </a:ln>
                </c14:spPr>
              </c14:invertSolidFillFmt>
            </c:ext>
            <c:ext xmlns:c16="http://schemas.microsoft.com/office/drawing/2014/chart" uri="{C3380CC4-5D6E-409C-BE32-E72D297353CC}">
              <c16:uniqueId val="{00000001-4EDD-48E5-A2A0-840EA7CC1485}"/>
            </c:ext>
          </c:extLst>
        </c:ser>
        <c:dLbls>
          <c:showLegendKey val="0"/>
          <c:showVal val="0"/>
          <c:showCatName val="0"/>
          <c:showSerName val="0"/>
          <c:showPercent val="0"/>
          <c:showBubbleSize val="0"/>
        </c:dLbls>
        <c:gapWidth val="150"/>
        <c:axId val="9714786"/>
        <c:axId val="26515384"/>
      </c:barChart>
      <c:catAx>
        <c:axId val="9714786"/>
        <c:scaling>
          <c:orientation val="minMax"/>
        </c:scaling>
        <c:delete val="0"/>
        <c:axPos val="b"/>
        <c:numFmt formatCode="dd\ mmm\ yy;;;" sourceLinked="0"/>
        <c:majorTickMark val="none"/>
        <c:minorTickMark val="none"/>
        <c:tickLblPos val="nextTo"/>
        <c:spPr>
          <a:ln w="9360">
            <a:solidFill>
              <a:srgbClr val="878787"/>
            </a:solidFill>
          </a:ln>
        </c:spPr>
        <c:txPr>
          <a:bodyPr anchorCtr="1"/>
          <a:lstStyle/>
          <a:p>
            <a:pPr>
              <a:defRPr sz="1000" b="0" spc="-1">
                <a:solidFill>
                  <a:srgbClr val="000000"/>
                </a:solidFill>
                <a:latin typeface="Calibri"/>
                <a:ea typeface="Calibri"/>
                <a:cs typeface="Calibri"/>
              </a:defRPr>
            </a:pPr>
            <a:endParaRPr lang="en-US"/>
          </a:p>
        </c:txPr>
        <c:crossAx val="26515384"/>
        <c:crosses val="autoZero"/>
        <c:auto val="0"/>
        <c:lblAlgn val="ctr"/>
        <c:lblOffset val="100"/>
        <c:tickLblSkip val="1"/>
        <c:noMultiLvlLbl val="1"/>
      </c:catAx>
      <c:valAx>
        <c:axId val="26515384"/>
        <c:scaling>
          <c:orientation val="minMax"/>
        </c:scaling>
        <c:delete val="0"/>
        <c:axPos val="l"/>
        <c:majorGridlines>
          <c:spPr>
            <a:ln w="9360">
              <a:solidFill>
                <a:srgbClr val="878787"/>
              </a:solidFill>
            </a:ln>
          </c:spPr>
        </c:majorGridlines>
        <c:numFmt formatCode="General" sourceLinked="1"/>
        <c:majorTickMark val="none"/>
        <c:minorTickMark val="none"/>
        <c:tickLblPos val="nextTo"/>
        <c:spPr>
          <a:ln w="9360">
            <a:solidFill>
              <a:srgbClr val="878787"/>
            </a:solidFill>
          </a:ln>
        </c:spPr>
        <c:txPr>
          <a:bodyPr anchorCtr="1"/>
          <a:lstStyle/>
          <a:p>
            <a:pPr>
              <a:defRPr sz="1000" b="0" spc="-1">
                <a:solidFill>
                  <a:srgbClr val="000000"/>
                </a:solidFill>
                <a:latin typeface="Calibri"/>
                <a:ea typeface="Calibri"/>
                <a:cs typeface="Calibri"/>
              </a:defRPr>
            </a:pPr>
            <a:endParaRPr lang="en-US"/>
          </a:p>
        </c:txPr>
        <c:crossAx val="9714786"/>
        <c:crosses val="autoZero"/>
        <c:crossBetween val="between"/>
      </c:valAx>
      <c:spPr>
        <a:noFill/>
        <a:ln w="0">
          <a:noFill/>
        </a:ln>
      </c:spPr>
    </c:plotArea>
    <c:legend>
      <c:legendPos val="r"/>
      <c:overlay val="0"/>
      <c:spPr>
        <a:noFill/>
      </c:spPr>
      <c:txPr>
        <a:bodyPr anchorCtr="1"/>
        <a:lstStyle/>
        <a:p>
          <a:pPr>
            <a:defRPr sz="1000" b="0" spc="-1">
              <a:solidFill>
                <a:srgbClr val="000000"/>
              </a:solidFill>
              <a:latin typeface="Calibri"/>
              <a:ea typeface="Calibri"/>
              <a:cs typeface="Calibri"/>
            </a:defRPr>
          </a:pPr>
          <a:endParaRPr lang="en-US"/>
        </a:p>
      </c:txPr>
    </c:legend>
    <c:plotVisOnly val="1"/>
    <c:dispBlanksAs val="zero"/>
    <c:showDLblsOverMax val="1"/>
  </c:chart>
  <c:spPr>
    <a:solidFill>
      <a:srgbClr val="FFFFFF"/>
    </a:solidFill>
    <a:ln w="9360">
      <a:solidFill>
        <a:srgbClr val="D9D9D9"/>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43</xdr:row>
      <xdr:rowOff>131040</xdr:rowOff>
    </xdr:from>
    <xdr:to>
      <xdr:col>2</xdr:col>
      <xdr:colOff>662040</xdr:colOff>
      <xdr:row>57</xdr:row>
      <xdr:rowOff>163440</xdr:rowOff>
    </xdr:to>
    <xdr:graphicFrame macro="">
      <xdr:nvGraphicFramePr>
        <xdr:cNvPr id="2" name="Chart">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0</xdr:colOff>
      <xdr:row>43</xdr:row>
      <xdr:rowOff>131040</xdr:rowOff>
    </xdr:from>
    <xdr:to>
      <xdr:col>9</xdr:col>
      <xdr:colOff>27360</xdr:colOff>
      <xdr:row>57</xdr:row>
      <xdr:rowOff>163440</xdr:rowOff>
    </xdr:to>
    <xdr:graphicFrame macro="">
      <xdr:nvGraphicFramePr>
        <xdr:cNvPr id="3" name="Chart">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30</xdr:row>
      <xdr:rowOff>131040</xdr:rowOff>
    </xdr:from>
    <xdr:to>
      <xdr:col>4</xdr:col>
      <xdr:colOff>402840</xdr:colOff>
      <xdr:row>45</xdr:row>
      <xdr:rowOff>153000</xdr:rowOff>
    </xdr:to>
    <xdr:graphicFrame macro="">
      <xdr:nvGraphicFramePr>
        <xdr:cNvPr id="2" name="Chart">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18</xdr:col>
      <xdr:colOff>0</xdr:colOff>
      <xdr:row>6</xdr:row>
      <xdr:rowOff>130680</xdr:rowOff>
    </xdr:from>
    <xdr:to>
      <xdr:col>26</xdr:col>
      <xdr:colOff>147600</xdr:colOff>
      <xdr:row>17</xdr:row>
      <xdr:rowOff>115920</xdr:rowOff>
    </xdr:to>
    <xdr:graphicFrame macro="">
      <xdr:nvGraphicFramePr>
        <xdr:cNvPr id="2" name="Chart">
          <a:extLst>
            <a:ext uri="{FF2B5EF4-FFF2-40B4-BE49-F238E27FC236}">
              <a16:creationId xmlns:a16="http://schemas.microsoft.com/office/drawing/2014/main" id="{00000000-0008-0000-1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3864"/>
  </sheetPr>
  <dimension ref="A1:A27"/>
  <sheetViews>
    <sheetView showGridLines="0" tabSelected="1" workbookViewId="0"/>
  </sheetViews>
  <sheetFormatPr defaultColWidth="8.6328125" defaultRowHeight="14.5" x14ac:dyDescent="0.35"/>
  <cols>
    <col min="1" max="1" width="130" customWidth="1"/>
  </cols>
  <sheetData>
    <row r="1" spans="1:1" ht="20" x14ac:dyDescent="0.4">
      <c r="A1" s="2" t="s">
        <v>834</v>
      </c>
    </row>
    <row r="2" spans="1:1" x14ac:dyDescent="0.35">
      <c r="A2" s="1" t="s">
        <v>0</v>
      </c>
    </row>
    <row r="4" spans="1:1" x14ac:dyDescent="0.35">
      <c r="A4" s="3" t="s">
        <v>1</v>
      </c>
    </row>
    <row r="5" spans="1:1" ht="60" customHeight="1" x14ac:dyDescent="0.35">
      <c r="A5" s="4" t="s">
        <v>2</v>
      </c>
    </row>
    <row r="6" spans="1:1" x14ac:dyDescent="0.35">
      <c r="A6" s="3" t="s">
        <v>3</v>
      </c>
    </row>
    <row r="7" spans="1:1" ht="45" customHeight="1" x14ac:dyDescent="0.35">
      <c r="A7" s="4" t="s">
        <v>4</v>
      </c>
    </row>
    <row r="8" spans="1:1" ht="60" customHeight="1" x14ac:dyDescent="0.35">
      <c r="A8" s="4" t="s">
        <v>5</v>
      </c>
    </row>
    <row r="9" spans="1:1" ht="30" customHeight="1" x14ac:dyDescent="0.35">
      <c r="A9" s="4" t="s">
        <v>6</v>
      </c>
    </row>
    <row r="10" spans="1:1" ht="45" customHeight="1" x14ac:dyDescent="0.35">
      <c r="A10" s="4" t="s">
        <v>7</v>
      </c>
    </row>
    <row r="11" spans="1:1" x14ac:dyDescent="0.35">
      <c r="A11" s="3" t="s">
        <v>8</v>
      </c>
    </row>
    <row r="12" spans="1:1" ht="30" customHeight="1" x14ac:dyDescent="0.35">
      <c r="A12" s="4" t="s">
        <v>9</v>
      </c>
    </row>
    <row r="13" spans="1:1" ht="45" customHeight="1" x14ac:dyDescent="0.35">
      <c r="A13" s="4" t="s">
        <v>10</v>
      </c>
    </row>
    <row r="14" spans="1:1" ht="60" customHeight="1" x14ac:dyDescent="0.35">
      <c r="A14" s="4" t="s">
        <v>11</v>
      </c>
    </row>
    <row r="15" spans="1:1" x14ac:dyDescent="0.35">
      <c r="A15" s="3" t="s">
        <v>12</v>
      </c>
    </row>
    <row r="16" spans="1:1" ht="60" customHeight="1" x14ac:dyDescent="0.35">
      <c r="A16" s="4" t="s">
        <v>13</v>
      </c>
    </row>
    <row r="17" spans="1:1" ht="60" customHeight="1" x14ac:dyDescent="0.35">
      <c r="A17" s="4" t="s">
        <v>14</v>
      </c>
    </row>
    <row r="18" spans="1:1" x14ac:dyDescent="0.35">
      <c r="A18" s="3" t="s">
        <v>832</v>
      </c>
    </row>
    <row r="19" spans="1:1" ht="72" customHeight="1" x14ac:dyDescent="0.35">
      <c r="A19" s="4" t="s">
        <v>835</v>
      </c>
    </row>
    <row r="20" spans="1:1" x14ac:dyDescent="0.35">
      <c r="A20" s="3" t="s">
        <v>15</v>
      </c>
    </row>
    <row r="21" spans="1:1" ht="15" customHeight="1" x14ac:dyDescent="0.35">
      <c r="A21" s="4" t="s">
        <v>16</v>
      </c>
    </row>
    <row r="22" spans="1:1" x14ac:dyDescent="0.35">
      <c r="A22" s="3" t="s">
        <v>17</v>
      </c>
    </row>
    <row r="23" spans="1:1" ht="78" customHeight="1" x14ac:dyDescent="0.35">
      <c r="A23" s="4" t="s">
        <v>836</v>
      </c>
    </row>
    <row r="24" spans="1:1" x14ac:dyDescent="0.35">
      <c r="A24" s="3" t="s">
        <v>18</v>
      </c>
    </row>
    <row r="25" spans="1:1" ht="58" customHeight="1" x14ac:dyDescent="0.35">
      <c r="A25" s="4" t="s">
        <v>19</v>
      </c>
    </row>
    <row r="26" spans="1:1" ht="45" customHeight="1" x14ac:dyDescent="0.35">
      <c r="A26" s="4" t="s">
        <v>20</v>
      </c>
    </row>
    <row r="27" spans="1:1" ht="60" customHeight="1" x14ac:dyDescent="0.35">
      <c r="A27" s="68" t="s">
        <v>833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F3864"/>
  </sheetPr>
  <dimension ref="A1:J42"/>
  <sheetViews>
    <sheetView showGridLines="0" workbookViewId="0"/>
  </sheetViews>
  <sheetFormatPr defaultColWidth="8.6328125" defaultRowHeight="14.5" x14ac:dyDescent="0.35"/>
  <cols>
    <col min="1" max="1" width="44" customWidth="1"/>
    <col min="2" max="2" width="13" customWidth="1"/>
    <col min="3" max="4" width="14" customWidth="1"/>
    <col min="5" max="5" width="20" customWidth="1"/>
    <col min="6" max="7" width="13" customWidth="1"/>
    <col min="8" max="10" width="10" customWidth="1"/>
  </cols>
  <sheetData>
    <row r="1" spans="1:10" ht="20" x14ac:dyDescent="0.4">
      <c r="A1" s="2" t="s">
        <v>21</v>
      </c>
    </row>
    <row r="2" spans="1:10" x14ac:dyDescent="0.35">
      <c r="A2" s="1" t="str">
        <f ca="1">"As of "&amp;TEXT(Methodology!$B$4,"dd mmm yyyy")&amp;"   |   "&amp;Checks!B24</f>
        <v>As of 23 Oct 2026   |   DEMONSTRATION: fictional data - 2 sample data-quality issue(s)</v>
      </c>
    </row>
    <row r="4" spans="1:10" ht="15.5" x14ac:dyDescent="0.35">
      <c r="A4" s="5" t="s">
        <v>22</v>
      </c>
      <c r="E4" s="5" t="s">
        <v>23</v>
      </c>
    </row>
    <row r="5" spans="1:10" x14ac:dyDescent="0.35">
      <c r="A5" s="6" t="s">
        <v>24</v>
      </c>
      <c r="B5" s="7">
        <f>COUNTIF('Risk Register'!$A$6:$A$105,"?*")</f>
        <v>8</v>
      </c>
      <c r="E5" s="8" t="s">
        <v>25</v>
      </c>
      <c r="F5" s="9">
        <v>1</v>
      </c>
      <c r="G5" s="9">
        <v>2</v>
      </c>
      <c r="H5" s="9">
        <v>3</v>
      </c>
      <c r="I5" s="9">
        <v>4</v>
      </c>
      <c r="J5" s="9">
        <v>5</v>
      </c>
    </row>
    <row r="6" spans="1:10" x14ac:dyDescent="0.35">
      <c r="A6" s="6" t="s">
        <v>26</v>
      </c>
      <c r="B6" s="10">
        <f>IFERROR(AVERAGE('Risk Register'!$H$6:$H$105),0)</f>
        <v>12.875</v>
      </c>
      <c r="E6" s="9">
        <v>5</v>
      </c>
      <c r="F6" s="11">
        <f ca="1">COUNTIFS('Risk Register'!$M$6:$M$105,$E6,'Risk Register'!$N$6:$N$105,F$5)</f>
        <v>0</v>
      </c>
      <c r="G6" s="12">
        <f ca="1">COUNTIFS('Risk Register'!$M$6:$M$105,$E6,'Risk Register'!$N$6:$N$105,G$5)</f>
        <v>0</v>
      </c>
      <c r="H6" s="12">
        <f ca="1">COUNTIFS('Risk Register'!$M$6:$M$105,$E6,'Risk Register'!$N$6:$N$105,H$5)</f>
        <v>1</v>
      </c>
      <c r="I6" s="13">
        <f ca="1">COUNTIFS('Risk Register'!$M$6:$M$105,$E6,'Risk Register'!$N$6:$N$105,I$5)</f>
        <v>0</v>
      </c>
      <c r="J6" s="13">
        <f ca="1">COUNTIFS('Risk Register'!$M$6:$M$105,$E6,'Risk Register'!$N$6:$N$105,J$5)</f>
        <v>0</v>
      </c>
    </row>
    <row r="7" spans="1:10" x14ac:dyDescent="0.35">
      <c r="A7" s="6" t="s">
        <v>27</v>
      </c>
      <c r="B7" s="10">
        <f ca="1">IFERROR(AVERAGE('Risk Register'!$O$6:$O$105),0)</f>
        <v>11.375</v>
      </c>
      <c r="E7" s="9">
        <v>4</v>
      </c>
      <c r="F7" s="14">
        <f ca="1">COUNTIFS('Risk Register'!$M$6:$M$105,$E7,'Risk Register'!$N$6:$N$105,F$5)</f>
        <v>0</v>
      </c>
      <c r="G7" s="11">
        <f ca="1">COUNTIFS('Risk Register'!$M$6:$M$105,$E7,'Risk Register'!$N$6:$N$105,G$5)</f>
        <v>0</v>
      </c>
      <c r="H7" s="12">
        <f ca="1">COUNTIFS('Risk Register'!$M$6:$M$105,$E7,'Risk Register'!$N$6:$N$105,H$5)</f>
        <v>0</v>
      </c>
      <c r="I7" s="12">
        <f ca="1">COUNTIFS('Risk Register'!$M$6:$M$105,$E7,'Risk Register'!$N$6:$N$105,I$5)</f>
        <v>1</v>
      </c>
      <c r="J7" s="13">
        <f ca="1">COUNTIFS('Risk Register'!$M$6:$M$105,$E7,'Risk Register'!$N$6:$N$105,J$5)</f>
        <v>0</v>
      </c>
    </row>
    <row r="8" spans="1:10" x14ac:dyDescent="0.35">
      <c r="A8" s="6" t="s">
        <v>28</v>
      </c>
      <c r="B8" s="7">
        <f ca="1">COUNTIF('Risk Register'!$P$6:$P$105,Methodology!$B$28)+COUNTIF('Risk Register'!$P$6:$P$105,Methodology!$B$29)</f>
        <v>4</v>
      </c>
      <c r="E8" s="9">
        <v>3</v>
      </c>
      <c r="F8" s="14">
        <f ca="1">COUNTIFS('Risk Register'!$M$6:$M$105,$E8,'Risk Register'!$N$6:$N$105,F$5)</f>
        <v>0</v>
      </c>
      <c r="G8" s="11">
        <f ca="1">COUNTIFS('Risk Register'!$M$6:$M$105,$E8,'Risk Register'!$N$6:$N$105,G$5)</f>
        <v>0</v>
      </c>
      <c r="H8" s="11">
        <f ca="1">COUNTIFS('Risk Register'!$M$6:$M$105,$E8,'Risk Register'!$N$6:$N$105,H$5)</f>
        <v>3</v>
      </c>
      <c r="I8" s="12">
        <f ca="1">COUNTIFS('Risk Register'!$M$6:$M$105,$E8,'Risk Register'!$N$6:$N$105,I$5)</f>
        <v>0</v>
      </c>
      <c r="J8" s="12">
        <f ca="1">COUNTIFS('Risk Register'!$M$6:$M$105,$E8,'Risk Register'!$N$6:$N$105,J$5)</f>
        <v>1</v>
      </c>
    </row>
    <row r="9" spans="1:10" x14ac:dyDescent="0.35">
      <c r="A9" s="6" t="s">
        <v>29</v>
      </c>
      <c r="B9" s="7">
        <f ca="1">COUNTIF('Risk Register'!$U$6:$U$105,"Appetite breach")+COUNTIF('Risk Register'!$U$6:$U$105,"Tolerance breach")</f>
        <v>5</v>
      </c>
      <c r="E9" s="9">
        <v>2</v>
      </c>
      <c r="F9" s="14">
        <f ca="1">COUNTIFS('Risk Register'!$M$6:$M$105,$E9,'Risk Register'!$N$6:$N$105,F$5)</f>
        <v>0</v>
      </c>
      <c r="G9" s="14">
        <f ca="1">COUNTIFS('Risk Register'!$M$6:$M$105,$E9,'Risk Register'!$N$6:$N$105,G$5)</f>
        <v>0</v>
      </c>
      <c r="H9" s="11">
        <f ca="1">COUNTIFS('Risk Register'!$M$6:$M$105,$E9,'Risk Register'!$N$6:$N$105,H$5)</f>
        <v>0</v>
      </c>
      <c r="I9" s="11">
        <f ca="1">COUNTIFS('Risk Register'!$M$6:$M$105,$E9,'Risk Register'!$N$6:$N$105,I$5)</f>
        <v>1</v>
      </c>
      <c r="J9" s="12">
        <f ca="1">COUNTIFS('Risk Register'!$M$6:$M$105,$E9,'Risk Register'!$N$6:$N$105,J$5)</f>
        <v>1</v>
      </c>
    </row>
    <row r="10" spans="1:10" x14ac:dyDescent="0.35">
      <c r="A10" s="6" t="s">
        <v>30</v>
      </c>
      <c r="B10" s="7">
        <f ca="1">COUNTIF('Risk Register'!$U$6:$U$105,"Tolerance breach")</f>
        <v>2</v>
      </c>
      <c r="E10" s="9">
        <v>1</v>
      </c>
      <c r="F10" s="14">
        <f ca="1">COUNTIFS('Risk Register'!$M$6:$M$105,$E10,'Risk Register'!$N$6:$N$105,F$5)</f>
        <v>0</v>
      </c>
      <c r="G10" s="14">
        <f ca="1">COUNTIFS('Risk Register'!$M$6:$M$105,$E10,'Risk Register'!$N$6:$N$105,G$5)</f>
        <v>0</v>
      </c>
      <c r="H10" s="14">
        <f ca="1">COUNTIFS('Risk Register'!$M$6:$M$105,$E10,'Risk Register'!$N$6:$N$105,H$5)</f>
        <v>0</v>
      </c>
      <c r="I10" s="14">
        <f ca="1">COUNTIFS('Risk Register'!$M$6:$M$105,$E10,'Risk Register'!$N$6:$N$105,I$5)</f>
        <v>0</v>
      </c>
      <c r="J10" s="11">
        <f ca="1">COUNTIFS('Risk Register'!$M$6:$M$105,$E10,'Risk Register'!$N$6:$N$105,J$5)</f>
        <v>0</v>
      </c>
    </row>
    <row r="11" spans="1:10" x14ac:dyDescent="0.35">
      <c r="A11" s="6" t="s">
        <v>31</v>
      </c>
      <c r="B11" s="7">
        <f ca="1">COUNTIF('Risk Register'!$Y$6:$Y$105,"Breach - not accepted")</f>
        <v>2</v>
      </c>
      <c r="E11" s="15" t="s">
        <v>32</v>
      </c>
    </row>
    <row r="12" spans="1:10" x14ac:dyDescent="0.35">
      <c r="A12" s="6" t="s">
        <v>33</v>
      </c>
      <c r="B12" s="7">
        <f ca="1">COUNTIF('Risk Register'!$Y$6:$Y$105,"Breach - formally accepted")</f>
        <v>1</v>
      </c>
    </row>
    <row r="13" spans="1:10" ht="15.5" x14ac:dyDescent="0.35">
      <c r="A13" s="6" t="s">
        <v>34</v>
      </c>
      <c r="B13" s="7">
        <f ca="1">COUNTIF('Risk Register'!$Y$6:$Y$105,"Acceptance expired - breach open")</f>
        <v>1</v>
      </c>
      <c r="E13" s="5" t="s">
        <v>35</v>
      </c>
    </row>
    <row r="14" spans="1:10" ht="19.5" customHeight="1" x14ac:dyDescent="0.35">
      <c r="A14" s="6" t="s">
        <v>36</v>
      </c>
      <c r="B14" s="7">
        <f ca="1">COUNTIF('Risk Register'!$Y$6:$Y$105,"Accepted - expiry not set")</f>
        <v>1</v>
      </c>
      <c r="E14" s="16" t="s">
        <v>37</v>
      </c>
      <c r="F14" s="16" t="s">
        <v>38</v>
      </c>
      <c r="G14" s="16" t="s">
        <v>39</v>
      </c>
    </row>
    <row r="15" spans="1:10" x14ac:dyDescent="0.35">
      <c r="A15" s="6" t="s">
        <v>40</v>
      </c>
      <c r="B15" s="7">
        <f ca="1">COUNTIF('Risk Register'!$AD$6:$AD$105,"Gap")</f>
        <v>1</v>
      </c>
      <c r="E15" s="8" t="str">
        <f>Methodology!$B$26</f>
        <v>Low</v>
      </c>
      <c r="F15" s="17">
        <f>COUNTIF('Risk Register'!$I$6:$I$105,$E15)</f>
        <v>0</v>
      </c>
      <c r="G15" s="17">
        <f ca="1">COUNTIF('Risk Register'!$P$6:$P$105,$E15)</f>
        <v>0</v>
      </c>
    </row>
    <row r="16" spans="1:10" x14ac:dyDescent="0.35">
      <c r="A16" s="6" t="s">
        <v>41</v>
      </c>
      <c r="B16" s="7">
        <f ca="1">COUNTIF('Treatment Tracker'!$L$6:$L$105,"On track")+COUNTIF('Treatment Tracker'!$L$6:$L$105,"Due soon")+COUNTIF('Treatment Tracker'!$L$6:$L$105,"Overdue")+COUNTIF('Treatment Tracker'!$L$6:$L$105,"No due date")</f>
        <v>4</v>
      </c>
      <c r="E16" s="8" t="str">
        <f>Methodology!$B$27</f>
        <v>Medium</v>
      </c>
      <c r="F16" s="17">
        <f>COUNTIF('Risk Register'!$I$6:$I$105,$E16)</f>
        <v>2</v>
      </c>
      <c r="G16" s="17">
        <f ca="1">COUNTIF('Risk Register'!$P$6:$P$105,$E16)</f>
        <v>4</v>
      </c>
    </row>
    <row r="17" spans="1:7" x14ac:dyDescent="0.35">
      <c r="A17" s="6" t="s">
        <v>42</v>
      </c>
      <c r="B17" s="7">
        <f ca="1">COUNTIF('Treatment Tracker'!$L$6:$L$105,"Overdue")</f>
        <v>1</v>
      </c>
      <c r="E17" s="8" t="str">
        <f>Methodology!$B$28</f>
        <v>High</v>
      </c>
      <c r="F17" s="17">
        <f>COUNTIF('Risk Register'!$I$6:$I$105,$E17)</f>
        <v>5</v>
      </c>
      <c r="G17" s="17">
        <f ca="1">COUNTIF('Risk Register'!$P$6:$P$105,$E17)</f>
        <v>4</v>
      </c>
    </row>
    <row r="18" spans="1:7" x14ac:dyDescent="0.35">
      <c r="A18" s="6" t="s">
        <v>43</v>
      </c>
      <c r="B18" s="7">
        <f ca="1">COUNTIF('Treatment Tracker'!$L$6:$L$105,"Due soon")</f>
        <v>1</v>
      </c>
      <c r="E18" s="8" t="str">
        <f>Methodology!$B$29</f>
        <v>Critical</v>
      </c>
      <c r="F18" s="17">
        <f>COUNTIF('Risk Register'!$I$6:$I$105,$E18)</f>
        <v>1</v>
      </c>
      <c r="G18" s="17">
        <f ca="1">COUNTIF('Risk Register'!$P$6:$P$105,$E18)</f>
        <v>0</v>
      </c>
    </row>
    <row r="19" spans="1:7" x14ac:dyDescent="0.35">
      <c r="A19" s="6" t="s">
        <v>44</v>
      </c>
      <c r="B19" s="7">
        <f ca="1">COUNTIF('Risk Register'!$AA$6:$AA$105,"Overdue")</f>
        <v>1</v>
      </c>
    </row>
    <row r="20" spans="1:7" x14ac:dyDescent="0.35">
      <c r="A20" s="6" t="s">
        <v>45</v>
      </c>
      <c r="B20" s="7">
        <f ca="1">COUNTIF('Risk Register'!$R$6:$R$105,"&gt;0")</f>
        <v>8</v>
      </c>
    </row>
    <row r="21" spans="1:7" x14ac:dyDescent="0.35">
      <c r="A21" s="6" t="s">
        <v>46</v>
      </c>
      <c r="B21" s="7">
        <f ca="1">COUNTIF('Risk Acceptance Register'!$P$6:$P$105,"Expiring soon")</f>
        <v>0</v>
      </c>
    </row>
    <row r="22" spans="1:7" x14ac:dyDescent="0.35">
      <c r="A22" s="6" t="s">
        <v>47</v>
      </c>
      <c r="B22" s="7">
        <f ca="1">COUNTIF('Risk Acceptance Register'!$O$6:$O$105,"Insufficient authority")</f>
        <v>1</v>
      </c>
    </row>
    <row r="23" spans="1:7" x14ac:dyDescent="0.35">
      <c r="A23" s="6" t="s">
        <v>48</v>
      </c>
      <c r="B23" s="7">
        <f>COUNTIF('KRI Tracker'!$U$6:$U$65,"Red")</f>
        <v>3</v>
      </c>
    </row>
    <row r="24" spans="1:7" x14ac:dyDescent="0.35">
      <c r="A24" s="6" t="s">
        <v>49</v>
      </c>
      <c r="B24" s="7">
        <f>COUNTIF('Emerging Risks'!$U$6:$U$65,"Consider escalating to Risk Register")</f>
        <v>2</v>
      </c>
    </row>
    <row r="25" spans="1:7" x14ac:dyDescent="0.35">
      <c r="A25" s="6" t="s">
        <v>50</v>
      </c>
      <c r="B25" s="18">
        <f>SUM('Scenario Analysis'!$K$8:$K$57)</f>
        <v>478000</v>
      </c>
    </row>
    <row r="26" spans="1:7" x14ac:dyDescent="0.35">
      <c r="A26" s="6" t="s">
        <v>51</v>
      </c>
      <c r="B26" s="7">
        <f ca="1">COUNTIF('Risk Aggregation'!$I$10:$I$29,"High concentration")</f>
        <v>2</v>
      </c>
    </row>
    <row r="27" spans="1:7" x14ac:dyDescent="0.35">
      <c r="A27" s="6" t="s">
        <v>52</v>
      </c>
      <c r="B27" s="7">
        <f ca="1">IF(COUNT('Snapshot History'!$A$6:$A$1005)=0,"No snapshot",Methodology!$B$4-MAX('Snapshot History'!$A$6:$A$1005))</f>
        <v>23</v>
      </c>
    </row>
    <row r="28" spans="1:7" ht="30" customHeight="1" x14ac:dyDescent="0.35">
      <c r="A28" s="69" t="s">
        <v>53</v>
      </c>
      <c r="B28" s="7">
        <f ca="1">SUMPRODUCT(('Risk Register'!$A$6:$A$105&lt;&gt;"")*('Risk Register'!$AI$6:$AI$105&lt;&gt;"Valid"))</f>
        <v>2</v>
      </c>
    </row>
    <row r="29" spans="1:7" ht="15.5" x14ac:dyDescent="0.35">
      <c r="A29" s="5" t="s">
        <v>54</v>
      </c>
    </row>
    <row r="30" spans="1:7" ht="33.75" customHeight="1" x14ac:dyDescent="0.35">
      <c r="A30" s="16" t="s">
        <v>55</v>
      </c>
      <c r="B30" s="16" t="s">
        <v>56</v>
      </c>
      <c r="C30" s="16" t="s">
        <v>57</v>
      </c>
      <c r="D30" s="16" t="s">
        <v>58</v>
      </c>
      <c r="E30" s="16" t="s">
        <v>59</v>
      </c>
      <c r="F30" s="16" t="s">
        <v>60</v>
      </c>
    </row>
    <row r="31" spans="1:7" x14ac:dyDescent="0.35">
      <c r="A31" s="6" t="str">
        <f>IF(Appetite!A6="","",Appetite!A6)</f>
        <v>Strategic</v>
      </c>
      <c r="B31" s="17">
        <f>IF(A31="","",COUNTIF('Risk Register'!$D$6:$D$105,A31))</f>
        <v>1</v>
      </c>
      <c r="C31" s="19">
        <f>IF(A31="","",IFERROR(AVERAGEIF('Risk Register'!$D$6:$D$105,A31,'Risk Register'!$O$6:$O$105),0))</f>
        <v>10</v>
      </c>
      <c r="D31" s="17">
        <f>IF(A31="","",Appetite!C6)</f>
        <v>12</v>
      </c>
      <c r="E31" s="17">
        <f ca="1">IF(A31="","",COUNTIFS('Risk Register'!$D$6:$D$105,A31,'Risk Register'!$U$6:$U$105,"Appetite breach"))</f>
        <v>0</v>
      </c>
      <c r="F31" s="17">
        <f ca="1">IF(A31="","",COUNTIFS('Risk Register'!$D$6:$D$105,A31,'Risk Register'!$U$6:$U$105,"Tolerance breach"))</f>
        <v>0</v>
      </c>
    </row>
    <row r="32" spans="1:7" x14ac:dyDescent="0.35">
      <c r="A32" s="6" t="str">
        <f>IF(Appetite!A7="","",Appetite!A7)</f>
        <v>Operational</v>
      </c>
      <c r="B32" s="17">
        <f>IF(A32="","",COUNTIF('Risk Register'!$D$6:$D$105,A32))</f>
        <v>0</v>
      </c>
      <c r="C32" s="19">
        <f>IF(A32="","",IFERROR(AVERAGEIF('Risk Register'!$D$6:$D$105,A32,'Risk Register'!$O$6:$O$105),0))</f>
        <v>0</v>
      </c>
      <c r="D32" s="17">
        <f>IF(A32="","",Appetite!C7)</f>
        <v>9</v>
      </c>
      <c r="E32" s="17">
        <f>IF(A32="","",COUNTIFS('Risk Register'!$D$6:$D$105,A32,'Risk Register'!$U$6:$U$105,"Appetite breach"))</f>
        <v>0</v>
      </c>
      <c r="F32" s="17">
        <f>IF(A32="","",COUNTIFS('Risk Register'!$D$6:$D$105,A32,'Risk Register'!$U$6:$U$105,"Tolerance breach"))</f>
        <v>0</v>
      </c>
    </row>
    <row r="33" spans="1:6" x14ac:dyDescent="0.35">
      <c r="A33" s="6" t="str">
        <f>IF(Appetite!A8="","",Appetite!A8)</f>
        <v>Cyber &amp; Information Security</v>
      </c>
      <c r="B33" s="17">
        <f>IF(A33="","",COUNTIF('Risk Register'!$D$6:$D$105,A33))</f>
        <v>1</v>
      </c>
      <c r="C33" s="19">
        <f ca="1">IF(A33="","",IFERROR(AVERAGEIF('Risk Register'!$D$6:$D$105,A33,'Risk Register'!$O$6:$O$105),0))</f>
        <v>15</v>
      </c>
      <c r="D33" s="17">
        <f>IF(A33="","",Appetite!C8)</f>
        <v>6</v>
      </c>
      <c r="E33" s="17">
        <f ca="1">IF(A33="","",COUNTIFS('Risk Register'!$D$6:$D$105,A33,'Risk Register'!$U$6:$U$105,"Appetite breach"))</f>
        <v>0</v>
      </c>
      <c r="F33" s="17">
        <f ca="1">IF(A33="","",COUNTIFS('Risk Register'!$D$6:$D$105,A33,'Risk Register'!$U$6:$U$105,"Tolerance breach"))</f>
        <v>1</v>
      </c>
    </row>
    <row r="34" spans="1:6" x14ac:dyDescent="0.35">
      <c r="A34" s="6" t="str">
        <f>IF(Appetite!A9="","",Appetite!A9)</f>
        <v>Compliance &amp; Regulatory</v>
      </c>
      <c r="B34" s="17">
        <f>IF(A34="","",COUNTIF('Risk Register'!$D$6:$D$105,A34))</f>
        <v>1</v>
      </c>
      <c r="C34" s="19">
        <f ca="1">IF(A34="","",IFERROR(AVERAGEIF('Risk Register'!$D$6:$D$105,A34,'Risk Register'!$O$6:$O$105),0))</f>
        <v>8</v>
      </c>
      <c r="D34" s="17">
        <f>IF(A34="","",Appetite!C9)</f>
        <v>4</v>
      </c>
      <c r="E34" s="17">
        <f ca="1">IF(A34="","",COUNTIFS('Risk Register'!$D$6:$D$105,A34,'Risk Register'!$U$6:$U$105,"Appetite breach"))</f>
        <v>1</v>
      </c>
      <c r="F34" s="17">
        <f ca="1">IF(A34="","",COUNTIFS('Risk Register'!$D$6:$D$105,A34,'Risk Register'!$U$6:$U$105,"Tolerance breach"))</f>
        <v>0</v>
      </c>
    </row>
    <row r="35" spans="1:6" x14ac:dyDescent="0.35">
      <c r="A35" s="6" t="str">
        <f>IF(Appetite!A10="","",Appetite!A10)</f>
        <v>Financial</v>
      </c>
      <c r="B35" s="17">
        <f>IF(A35="","",COUNTIF('Risk Register'!$D$6:$D$105,A35))</f>
        <v>1</v>
      </c>
      <c r="C35" s="19">
        <f ca="1">IF(A35="","",IFERROR(AVERAGEIF('Risk Register'!$D$6:$D$105,A35,'Risk Register'!$O$6:$O$105),0))</f>
        <v>9</v>
      </c>
      <c r="D35" s="17">
        <f>IF(A35="","",Appetite!C10)</f>
        <v>9</v>
      </c>
      <c r="E35" s="17">
        <f ca="1">IF(A35="","",COUNTIFS('Risk Register'!$D$6:$D$105,A35,'Risk Register'!$U$6:$U$105,"Appetite breach"))</f>
        <v>0</v>
      </c>
      <c r="F35" s="17">
        <f ca="1">IF(A35="","",COUNTIFS('Risk Register'!$D$6:$D$105,A35,'Risk Register'!$U$6:$U$105,"Tolerance breach"))</f>
        <v>0</v>
      </c>
    </row>
    <row r="36" spans="1:6" x14ac:dyDescent="0.35">
      <c r="A36" s="6" t="str">
        <f>IF(Appetite!A11="","",Appetite!A11)</f>
        <v>Third-Party</v>
      </c>
      <c r="B36" s="17">
        <f>IF(A36="","",COUNTIF('Risk Register'!$D$6:$D$105,A36))</f>
        <v>1</v>
      </c>
      <c r="C36" s="19">
        <f ca="1">IF(A36="","",IFERROR(AVERAGEIF('Risk Register'!$D$6:$D$105,A36,'Risk Register'!$O$6:$O$105),0))</f>
        <v>16</v>
      </c>
      <c r="D36" s="17">
        <f>IF(A36="","",Appetite!C11)</f>
        <v>9</v>
      </c>
      <c r="E36" s="17">
        <f ca="1">IF(A36="","",COUNTIFS('Risk Register'!$D$6:$D$105,A36,'Risk Register'!$U$6:$U$105,"Appetite breach"))</f>
        <v>0</v>
      </c>
      <c r="F36" s="17">
        <f ca="1">IF(A36="","",COUNTIFS('Risk Register'!$D$6:$D$105,A36,'Risk Register'!$U$6:$U$105,"Tolerance breach"))</f>
        <v>1</v>
      </c>
    </row>
    <row r="37" spans="1:6" x14ac:dyDescent="0.35">
      <c r="A37" s="6" t="str">
        <f>IF(Appetite!A12="","",Appetite!A12)</f>
        <v>Technology</v>
      </c>
      <c r="B37" s="17">
        <f>IF(A37="","",COUNTIF('Risk Register'!$D$6:$D$105,A37))</f>
        <v>1</v>
      </c>
      <c r="C37" s="19">
        <f ca="1">IF(A37="","",IFERROR(AVERAGEIF('Risk Register'!$D$6:$D$105,A37,'Risk Register'!$O$6:$O$105),0))</f>
        <v>15</v>
      </c>
      <c r="D37" s="17">
        <f>IF(A37="","",Appetite!C12)</f>
        <v>9</v>
      </c>
      <c r="E37" s="17">
        <f ca="1">IF(A37="","",COUNTIFS('Risk Register'!$D$6:$D$105,A37,'Risk Register'!$U$6:$U$105,"Appetite breach"))</f>
        <v>1</v>
      </c>
      <c r="F37" s="17">
        <f ca="1">IF(A37="","",COUNTIFS('Risk Register'!$D$6:$D$105,A37,'Risk Register'!$U$6:$U$105,"Tolerance breach"))</f>
        <v>0</v>
      </c>
    </row>
    <row r="38" spans="1:6" x14ac:dyDescent="0.35">
      <c r="A38" s="6" t="str">
        <f>IF(Appetite!A13="","",Appetite!A13)</f>
        <v>Data Privacy</v>
      </c>
      <c r="B38" s="17">
        <f>IF(A38="","",COUNTIF('Risk Register'!$D$6:$D$105,A38))</f>
        <v>1</v>
      </c>
      <c r="C38" s="19">
        <f ca="1">IF(A38="","",IFERROR(AVERAGEIF('Risk Register'!$D$6:$D$105,A38,'Risk Register'!$O$6:$O$105),0))</f>
        <v>9</v>
      </c>
      <c r="D38" s="17">
        <f>IF(A38="","",Appetite!C13)</f>
        <v>6</v>
      </c>
      <c r="E38" s="17">
        <f ca="1">IF(A38="","",COUNTIFS('Risk Register'!$D$6:$D$105,A38,'Risk Register'!$U$6:$U$105,"Appetite breach"))</f>
        <v>1</v>
      </c>
      <c r="F38" s="17">
        <f ca="1">IF(A38="","",COUNTIFS('Risk Register'!$D$6:$D$105,A38,'Risk Register'!$U$6:$U$105,"Tolerance breach"))</f>
        <v>0</v>
      </c>
    </row>
    <row r="39" spans="1:6" x14ac:dyDescent="0.35">
      <c r="A39" s="6" t="str">
        <f>IF(Appetite!A14="","",Appetite!A14)</f>
        <v>People</v>
      </c>
      <c r="B39" s="17">
        <f>IF(A39="","",COUNTIF('Risk Register'!$D$6:$D$105,A39))</f>
        <v>1</v>
      </c>
      <c r="C39" s="19">
        <f ca="1">IF(A39="","",IFERROR(AVERAGEIF('Risk Register'!$D$6:$D$105,A39,'Risk Register'!$O$6:$O$105),0))</f>
        <v>9</v>
      </c>
      <c r="D39" s="17">
        <f>IF(A39="","",Appetite!C14)</f>
        <v>9</v>
      </c>
      <c r="E39" s="17">
        <f ca="1">IF(A39="","",COUNTIFS('Risk Register'!$D$6:$D$105,A39,'Risk Register'!$U$6:$U$105,"Appetite breach"))</f>
        <v>0</v>
      </c>
      <c r="F39" s="17">
        <f ca="1">IF(A39="","",COUNTIFS('Risk Register'!$D$6:$D$105,A39,'Risk Register'!$U$6:$U$105,"Tolerance breach"))</f>
        <v>0</v>
      </c>
    </row>
    <row r="40" spans="1:6" x14ac:dyDescent="0.35">
      <c r="A40" s="6" t="str">
        <f>IF(Appetite!A15="","",Appetite!A15)</f>
        <v/>
      </c>
      <c r="B40" s="17" t="str">
        <f>IF(A40="","",COUNTIF('Risk Register'!$D$6:$D$105,A40))</f>
        <v/>
      </c>
      <c r="C40" s="19" t="str">
        <f>IF(A40="","",IFERROR(AVERAGEIF('Risk Register'!$D$6:$D$105,A40,'Risk Register'!$O$6:$O$105),0))</f>
        <v/>
      </c>
      <c r="D40" s="17" t="str">
        <f>IF(A40="","",Appetite!C15)</f>
        <v/>
      </c>
      <c r="E40" s="17" t="str">
        <f>IF(A40="","",COUNTIFS('Risk Register'!$D$6:$D$105,A40,'Risk Register'!$U$6:$U$105,"Appetite breach"))</f>
        <v/>
      </c>
      <c r="F40" s="17" t="str">
        <f>IF(A40="","",COUNTIFS('Risk Register'!$D$6:$D$105,A40,'Risk Register'!$U$6:$U$105,"Tolerance breach"))</f>
        <v/>
      </c>
    </row>
    <row r="41" spans="1:6" x14ac:dyDescent="0.35">
      <c r="A41" s="6" t="str">
        <f>IF(Appetite!A16="","",Appetite!A16)</f>
        <v/>
      </c>
      <c r="B41" s="17" t="str">
        <f>IF(A41="","",COUNTIF('Risk Register'!$D$6:$D$105,A41))</f>
        <v/>
      </c>
      <c r="C41" s="19" t="str">
        <f>IF(A41="","",IFERROR(AVERAGEIF('Risk Register'!$D$6:$D$105,A41,'Risk Register'!$O$6:$O$105),0))</f>
        <v/>
      </c>
      <c r="D41" s="17" t="str">
        <f>IF(A41="","",Appetite!C16)</f>
        <v/>
      </c>
      <c r="E41" s="17" t="str">
        <f>IF(A41="","",COUNTIFS('Risk Register'!$D$6:$D$105,A41,'Risk Register'!$U$6:$U$105,"Appetite breach"))</f>
        <v/>
      </c>
      <c r="F41" s="17" t="str">
        <f>IF(A41="","",COUNTIFS('Risk Register'!$D$6:$D$105,A41,'Risk Register'!$U$6:$U$105,"Tolerance breach"))</f>
        <v/>
      </c>
    </row>
    <row r="42" spans="1:6" x14ac:dyDescent="0.35">
      <c r="A42" s="6" t="str">
        <f>IF(Appetite!A17="","",Appetite!A17)</f>
        <v/>
      </c>
      <c r="B42" s="17" t="str">
        <f>IF(A42="","",COUNTIF('Risk Register'!$D$6:$D$105,A42))</f>
        <v/>
      </c>
      <c r="C42" s="19" t="str">
        <f>IF(A42="","",IFERROR(AVERAGEIF('Risk Register'!$D$6:$D$105,A42,'Risk Register'!$O$6:$O$105),0))</f>
        <v/>
      </c>
      <c r="D42" s="17" t="str">
        <f>IF(A42="","",Appetite!C17)</f>
        <v/>
      </c>
      <c r="E42" s="17" t="str">
        <f>IF(A42="","",COUNTIFS('Risk Register'!$D$6:$D$105,A42,'Risk Register'!$U$6:$U$105,"Appetite breach"))</f>
        <v/>
      </c>
      <c r="F42" s="17" t="str">
        <f>IF(A42="","",COUNTIFS('Risk Register'!$D$6:$D$105,A42,'Risk Register'!$U$6:$U$105,"Tolerance breach"))</f>
        <v/>
      </c>
    </row>
  </sheetData>
  <conditionalFormatting sqref="B9:B11">
    <cfRule type="cellIs" dxfId="90" priority="3" operator="greaterThan">
      <formula>0</formula>
    </cfRule>
  </conditionalFormatting>
  <conditionalFormatting sqref="B13:B15">
    <cfRule type="cellIs" dxfId="89" priority="6" operator="greaterThan">
      <formula>0</formula>
    </cfRule>
  </conditionalFormatting>
  <conditionalFormatting sqref="B17">
    <cfRule type="cellIs" dxfId="88" priority="9" operator="greaterThan">
      <formula>0</formula>
    </cfRule>
  </conditionalFormatting>
  <conditionalFormatting sqref="B22:B24">
    <cfRule type="cellIs" dxfId="87" priority="10" operator="greaterThan">
      <formula>0</formula>
    </cfRule>
  </conditionalFormatting>
  <conditionalFormatting sqref="B26">
    <cfRule type="cellIs" dxfId="86" priority="13" operator="greaterThan">
      <formula>0</formula>
    </cfRule>
  </conditionalFormatting>
  <conditionalFormatting sqref="B28">
    <cfRule type="cellIs" dxfId="84" priority="14" operator="greaterThan">
      <formula>0</formula>
    </cfRule>
  </conditionalFormatting>
  <conditionalFormatting sqref="E31:F42">
    <cfRule type="expression" dxfId="0" priority="15" stopIfTrue="1">
      <formula>AND(ISNUMBER(E31),E31&gt;0)</formula>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2" id="{00000000-000E-0000-0100-000002000000}">
            <xm:f>OR(NOT(ISNUMBER(B27)),B27&gt;Methodology!$B$7)</xm:f>
            <x14:dxf>
              <fill>
                <patternFill>
                  <bgColor rgb="FFF4B6B6"/>
                </patternFill>
              </fill>
            </x14:dxf>
          </x14:cfRule>
          <xm:sqref>B27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F5597"/>
  </sheetPr>
  <dimension ref="A1:F63"/>
  <sheetViews>
    <sheetView showGridLines="0" workbookViewId="0"/>
  </sheetViews>
  <sheetFormatPr defaultColWidth="8.6328125" defaultRowHeight="14.5" x14ac:dyDescent="0.35"/>
  <cols>
    <col min="1" max="1" width="26" customWidth="1"/>
    <col min="2" max="2" width="22" customWidth="1"/>
    <col min="3" max="4" width="42" customWidth="1"/>
    <col min="5" max="5" width="38" customWidth="1"/>
    <col min="6" max="6" width="34" customWidth="1"/>
  </cols>
  <sheetData>
    <row r="1" spans="1:4" ht="20" x14ac:dyDescent="0.4">
      <c r="A1" s="2" t="s">
        <v>61</v>
      </c>
    </row>
    <row r="2" spans="1:4" x14ac:dyDescent="0.35">
      <c r="A2" s="1" t="s">
        <v>62</v>
      </c>
    </row>
    <row r="3" spans="1:4" x14ac:dyDescent="0.35">
      <c r="A3" s="20" t="s">
        <v>63</v>
      </c>
      <c r="B3" s="21">
        <v>365</v>
      </c>
      <c r="C3" s="6" t="s">
        <v>64</v>
      </c>
    </row>
    <row r="4" spans="1:4" x14ac:dyDescent="0.35">
      <c r="A4" s="20" t="s">
        <v>65</v>
      </c>
      <c r="B4" s="22">
        <f ca="1">TODAY()</f>
        <v>46318</v>
      </c>
      <c r="C4" s="6" t="s">
        <v>66</v>
      </c>
    </row>
    <row r="5" spans="1:4" x14ac:dyDescent="0.35">
      <c r="A5" s="20" t="s">
        <v>67</v>
      </c>
      <c r="B5" s="21">
        <v>30</v>
      </c>
      <c r="C5" s="6" t="s">
        <v>68</v>
      </c>
    </row>
    <row r="6" spans="1:4" x14ac:dyDescent="0.35">
      <c r="A6" s="20" t="s">
        <v>69</v>
      </c>
      <c r="B6" s="21">
        <v>365</v>
      </c>
      <c r="C6" s="6" t="s">
        <v>70</v>
      </c>
    </row>
    <row r="7" spans="1:4" x14ac:dyDescent="0.35">
      <c r="A7" s="20" t="s">
        <v>71</v>
      </c>
      <c r="B7" s="21">
        <v>30</v>
      </c>
      <c r="C7" s="6" t="s">
        <v>72</v>
      </c>
    </row>
    <row r="8" spans="1:4" ht="15.5" x14ac:dyDescent="0.35">
      <c r="A8" s="5" t="s">
        <v>73</v>
      </c>
    </row>
    <row r="9" spans="1:4" ht="19.5" customHeight="1" x14ac:dyDescent="0.35">
      <c r="A9" s="16" t="s">
        <v>74</v>
      </c>
      <c r="B9" s="16" t="s">
        <v>75</v>
      </c>
      <c r="C9" s="16" t="s">
        <v>76</v>
      </c>
      <c r="D9" s="16" t="s">
        <v>77</v>
      </c>
    </row>
    <row r="10" spans="1:4" x14ac:dyDescent="0.35">
      <c r="A10" s="23">
        <v>1</v>
      </c>
      <c r="B10" s="24" t="s">
        <v>78</v>
      </c>
      <c r="C10" s="24" t="s">
        <v>79</v>
      </c>
      <c r="D10" s="24" t="s">
        <v>80</v>
      </c>
    </row>
    <row r="11" spans="1:4" x14ac:dyDescent="0.35">
      <c r="A11" s="23">
        <v>2</v>
      </c>
      <c r="B11" s="24" t="s">
        <v>81</v>
      </c>
      <c r="C11" s="24" t="s">
        <v>82</v>
      </c>
      <c r="D11" s="24" t="s">
        <v>83</v>
      </c>
    </row>
    <row r="12" spans="1:4" x14ac:dyDescent="0.35">
      <c r="A12" s="23">
        <v>3</v>
      </c>
      <c r="B12" s="24" t="s">
        <v>84</v>
      </c>
      <c r="C12" s="24" t="s">
        <v>85</v>
      </c>
      <c r="D12" s="24" t="s">
        <v>86</v>
      </c>
    </row>
    <row r="13" spans="1:4" x14ac:dyDescent="0.35">
      <c r="A13" s="23">
        <v>4</v>
      </c>
      <c r="B13" s="24" t="s">
        <v>87</v>
      </c>
      <c r="C13" s="24" t="s">
        <v>88</v>
      </c>
      <c r="D13" s="24" t="s">
        <v>89</v>
      </c>
    </row>
    <row r="14" spans="1:4" x14ac:dyDescent="0.35">
      <c r="A14" s="23">
        <v>5</v>
      </c>
      <c r="B14" s="24" t="s">
        <v>90</v>
      </c>
      <c r="C14" s="24" t="s">
        <v>91</v>
      </c>
      <c r="D14" s="24" t="s">
        <v>92</v>
      </c>
    </row>
    <row r="16" spans="1:4" ht="15.5" x14ac:dyDescent="0.35">
      <c r="A16" s="5" t="s">
        <v>93</v>
      </c>
    </row>
    <row r="17" spans="1:6" ht="19.5" customHeight="1" x14ac:dyDescent="0.35">
      <c r="A17" s="16" t="s">
        <v>74</v>
      </c>
      <c r="B17" s="16" t="s">
        <v>75</v>
      </c>
      <c r="C17" s="16" t="s">
        <v>94</v>
      </c>
      <c r="D17" s="16" t="s">
        <v>95</v>
      </c>
      <c r="E17" s="16" t="s">
        <v>96</v>
      </c>
      <c r="F17" s="16" t="s">
        <v>97</v>
      </c>
    </row>
    <row r="18" spans="1:6" x14ac:dyDescent="0.35">
      <c r="A18" s="23">
        <v>1</v>
      </c>
      <c r="B18" s="24" t="s">
        <v>98</v>
      </c>
      <c r="C18" s="24" t="s">
        <v>99</v>
      </c>
      <c r="D18" s="24" t="s">
        <v>100</v>
      </c>
      <c r="E18" s="24" t="s">
        <v>101</v>
      </c>
      <c r="F18" s="24" t="s">
        <v>102</v>
      </c>
    </row>
    <row r="19" spans="1:6" x14ac:dyDescent="0.35">
      <c r="A19" s="23">
        <v>2</v>
      </c>
      <c r="B19" s="24" t="s">
        <v>103</v>
      </c>
      <c r="C19" s="24" t="s">
        <v>104</v>
      </c>
      <c r="D19" s="24" t="s">
        <v>105</v>
      </c>
      <c r="E19" s="24" t="s">
        <v>106</v>
      </c>
      <c r="F19" s="24" t="s">
        <v>107</v>
      </c>
    </row>
    <row r="20" spans="1:6" x14ac:dyDescent="0.35">
      <c r="A20" s="23">
        <v>3</v>
      </c>
      <c r="B20" s="24" t="s">
        <v>108</v>
      </c>
      <c r="C20" s="24" t="s">
        <v>109</v>
      </c>
      <c r="D20" s="24" t="s">
        <v>110</v>
      </c>
      <c r="E20" s="24" t="s">
        <v>111</v>
      </c>
      <c r="F20" s="24" t="s">
        <v>112</v>
      </c>
    </row>
    <row r="21" spans="1:6" ht="25" x14ac:dyDescent="0.35">
      <c r="A21" s="23">
        <v>4</v>
      </c>
      <c r="B21" s="24" t="s">
        <v>113</v>
      </c>
      <c r="C21" s="24" t="s">
        <v>114</v>
      </c>
      <c r="D21" s="24" t="s">
        <v>115</v>
      </c>
      <c r="E21" s="24" t="s">
        <v>116</v>
      </c>
      <c r="F21" s="24" t="s">
        <v>117</v>
      </c>
    </row>
    <row r="22" spans="1:6" x14ac:dyDescent="0.35">
      <c r="A22" s="23">
        <v>5</v>
      </c>
      <c r="B22" s="24" t="s">
        <v>118</v>
      </c>
      <c r="C22" s="24" t="s">
        <v>119</v>
      </c>
      <c r="D22" s="24" t="s">
        <v>120</v>
      </c>
      <c r="E22" s="24" t="s">
        <v>121</v>
      </c>
      <c r="F22" s="24" t="s">
        <v>122</v>
      </c>
    </row>
    <row r="24" spans="1:6" ht="15.5" x14ac:dyDescent="0.35">
      <c r="A24" s="5" t="s">
        <v>123</v>
      </c>
    </row>
    <row r="25" spans="1:6" ht="19.5" customHeight="1" x14ac:dyDescent="0.35">
      <c r="A25" s="16" t="s">
        <v>124</v>
      </c>
      <c r="B25" s="16" t="s">
        <v>37</v>
      </c>
      <c r="C25" s="16" t="s">
        <v>125</v>
      </c>
      <c r="D25" s="16" t="s">
        <v>126</v>
      </c>
    </row>
    <row r="26" spans="1:6" x14ac:dyDescent="0.35">
      <c r="A26" s="21">
        <v>1</v>
      </c>
      <c r="B26" s="21" t="s">
        <v>127</v>
      </c>
      <c r="C26" s="25">
        <f>A27-1</f>
        <v>4</v>
      </c>
      <c r="D26" s="24" t="s">
        <v>128</v>
      </c>
    </row>
    <row r="27" spans="1:6" ht="25" x14ac:dyDescent="0.35">
      <c r="A27" s="21">
        <v>5</v>
      </c>
      <c r="B27" s="21" t="s">
        <v>129</v>
      </c>
      <c r="C27" s="25">
        <f>A28-1</f>
        <v>9</v>
      </c>
      <c r="D27" s="24" t="s">
        <v>130</v>
      </c>
    </row>
    <row r="28" spans="1:6" ht="25" x14ac:dyDescent="0.35">
      <c r="A28" s="21">
        <v>10</v>
      </c>
      <c r="B28" s="21" t="s">
        <v>131</v>
      </c>
      <c r="C28" s="25">
        <f>A29-1</f>
        <v>16</v>
      </c>
      <c r="D28" s="24" t="s">
        <v>132</v>
      </c>
    </row>
    <row r="29" spans="1:6" ht="25" x14ac:dyDescent="0.35">
      <c r="A29" s="21">
        <v>17</v>
      </c>
      <c r="B29" s="21" t="s">
        <v>133</v>
      </c>
      <c r="C29" s="21">
        <v>25</v>
      </c>
      <c r="D29" s="24" t="s">
        <v>134</v>
      </c>
    </row>
    <row r="31" spans="1:6" ht="15.5" x14ac:dyDescent="0.35">
      <c r="A31" s="5" t="s">
        <v>135</v>
      </c>
    </row>
    <row r="32" spans="1:6" x14ac:dyDescent="0.35">
      <c r="A32" s="8" t="s">
        <v>25</v>
      </c>
      <c r="B32" s="9">
        <v>1</v>
      </c>
      <c r="C32" s="9">
        <v>2</v>
      </c>
      <c r="D32" s="9">
        <v>3</v>
      </c>
      <c r="E32" s="9">
        <v>4</v>
      </c>
      <c r="F32" s="9">
        <v>5</v>
      </c>
    </row>
    <row r="33" spans="1:6" x14ac:dyDescent="0.35">
      <c r="A33" s="9">
        <v>5</v>
      </c>
      <c r="B33" s="26">
        <f t="shared" ref="B33:F37" si="0">$A33*B$32</f>
        <v>5</v>
      </c>
      <c r="C33" s="27">
        <f t="shared" si="0"/>
        <v>10</v>
      </c>
      <c r="D33" s="27">
        <f t="shared" si="0"/>
        <v>15</v>
      </c>
      <c r="E33" s="28">
        <f t="shared" si="0"/>
        <v>20</v>
      </c>
      <c r="F33" s="28">
        <f t="shared" si="0"/>
        <v>25</v>
      </c>
    </row>
    <row r="34" spans="1:6" x14ac:dyDescent="0.35">
      <c r="A34" s="9">
        <v>4</v>
      </c>
      <c r="B34" s="29">
        <f t="shared" si="0"/>
        <v>4</v>
      </c>
      <c r="C34" s="26">
        <f t="shared" si="0"/>
        <v>8</v>
      </c>
      <c r="D34" s="27">
        <f t="shared" si="0"/>
        <v>12</v>
      </c>
      <c r="E34" s="27">
        <f t="shared" si="0"/>
        <v>16</v>
      </c>
      <c r="F34" s="28">
        <f t="shared" si="0"/>
        <v>20</v>
      </c>
    </row>
    <row r="35" spans="1:6" x14ac:dyDescent="0.35">
      <c r="A35" s="9">
        <v>3</v>
      </c>
      <c r="B35" s="29">
        <f t="shared" si="0"/>
        <v>3</v>
      </c>
      <c r="C35" s="26">
        <f t="shared" si="0"/>
        <v>6</v>
      </c>
      <c r="D35" s="26">
        <f t="shared" si="0"/>
        <v>9</v>
      </c>
      <c r="E35" s="27">
        <f t="shared" si="0"/>
        <v>12</v>
      </c>
      <c r="F35" s="27">
        <f t="shared" si="0"/>
        <v>15</v>
      </c>
    </row>
    <row r="36" spans="1:6" x14ac:dyDescent="0.35">
      <c r="A36" s="9">
        <v>2</v>
      </c>
      <c r="B36" s="29">
        <f t="shared" si="0"/>
        <v>2</v>
      </c>
      <c r="C36" s="29">
        <f t="shared" si="0"/>
        <v>4</v>
      </c>
      <c r="D36" s="26">
        <f t="shared" si="0"/>
        <v>6</v>
      </c>
      <c r="E36" s="26">
        <f t="shared" si="0"/>
        <v>8</v>
      </c>
      <c r="F36" s="27">
        <f t="shared" si="0"/>
        <v>10</v>
      </c>
    </row>
    <row r="37" spans="1:6" x14ac:dyDescent="0.35">
      <c r="A37" s="9">
        <v>1</v>
      </c>
      <c r="B37" s="29">
        <f t="shared" si="0"/>
        <v>1</v>
      </c>
      <c r="C37" s="29">
        <f t="shared" si="0"/>
        <v>2</v>
      </c>
      <c r="D37" s="29">
        <f t="shared" si="0"/>
        <v>3</v>
      </c>
      <c r="E37" s="29">
        <f t="shared" si="0"/>
        <v>4</v>
      </c>
      <c r="F37" s="26">
        <f t="shared" si="0"/>
        <v>5</v>
      </c>
    </row>
    <row r="39" spans="1:6" ht="15.5" x14ac:dyDescent="0.35">
      <c r="A39" s="5" t="s">
        <v>136</v>
      </c>
    </row>
    <row r="40" spans="1:6" ht="19.5" customHeight="1" x14ac:dyDescent="0.35">
      <c r="A40" s="16" t="s">
        <v>75</v>
      </c>
      <c r="B40" s="16" t="s">
        <v>137</v>
      </c>
      <c r="C40" s="16" t="s">
        <v>138</v>
      </c>
    </row>
    <row r="41" spans="1:6" ht="25" x14ac:dyDescent="0.35">
      <c r="A41" s="21" t="s">
        <v>139</v>
      </c>
      <c r="B41" s="30">
        <v>0.5</v>
      </c>
      <c r="C41" s="24" t="s">
        <v>140</v>
      </c>
    </row>
    <row r="42" spans="1:6" x14ac:dyDescent="0.35">
      <c r="A42" s="21" t="s">
        <v>141</v>
      </c>
      <c r="B42" s="30">
        <v>0.3</v>
      </c>
      <c r="C42" s="24" t="s">
        <v>142</v>
      </c>
    </row>
    <row r="43" spans="1:6" ht="25" x14ac:dyDescent="0.35">
      <c r="A43" s="21" t="s">
        <v>143</v>
      </c>
      <c r="B43" s="30">
        <v>0.1</v>
      </c>
      <c r="C43" s="24" t="s">
        <v>144</v>
      </c>
    </row>
    <row r="44" spans="1:6" x14ac:dyDescent="0.35">
      <c r="A44" s="21" t="s">
        <v>145</v>
      </c>
      <c r="B44" s="30">
        <v>0</v>
      </c>
      <c r="C44" s="24" t="s">
        <v>146</v>
      </c>
    </row>
    <row r="46" spans="1:6" ht="15.5" x14ac:dyDescent="0.35">
      <c r="A46" s="5" t="s">
        <v>147</v>
      </c>
    </row>
    <row r="47" spans="1:6" ht="19.5" customHeight="1" x14ac:dyDescent="0.35">
      <c r="A47" s="16" t="s">
        <v>148</v>
      </c>
      <c r="B47" s="16" t="s">
        <v>149</v>
      </c>
      <c r="C47" s="16" t="s">
        <v>150</v>
      </c>
      <c r="D47" s="16" t="s">
        <v>151</v>
      </c>
    </row>
    <row r="48" spans="1:6" x14ac:dyDescent="0.35">
      <c r="A48" s="23" t="s">
        <v>152</v>
      </c>
      <c r="B48" s="24" t="s">
        <v>153</v>
      </c>
      <c r="C48" s="24">
        <v>0</v>
      </c>
      <c r="D48" s="24" t="s">
        <v>154</v>
      </c>
    </row>
    <row r="49" spans="1:4" x14ac:dyDescent="0.35">
      <c r="A49" s="23" t="s">
        <v>155</v>
      </c>
      <c r="B49" s="24" t="s">
        <v>156</v>
      </c>
      <c r="C49" s="24">
        <v>30</v>
      </c>
      <c r="D49" s="24" t="s">
        <v>157</v>
      </c>
    </row>
    <row r="50" spans="1:4" ht="25" x14ac:dyDescent="0.35">
      <c r="A50" s="23" t="s">
        <v>158</v>
      </c>
      <c r="B50" s="24" t="s">
        <v>159</v>
      </c>
      <c r="C50" s="24">
        <v>7</v>
      </c>
      <c r="D50" s="24" t="s">
        <v>160</v>
      </c>
    </row>
    <row r="52" spans="1:4" ht="15.5" x14ac:dyDescent="0.35">
      <c r="A52" s="5" t="s">
        <v>161</v>
      </c>
    </row>
    <row r="53" spans="1:4" ht="19.5" customHeight="1" x14ac:dyDescent="0.35">
      <c r="A53" s="16" t="s">
        <v>162</v>
      </c>
      <c r="B53" s="16" t="s">
        <v>163</v>
      </c>
      <c r="C53" s="16" t="s">
        <v>164</v>
      </c>
    </row>
    <row r="54" spans="1:4" x14ac:dyDescent="0.35">
      <c r="A54" s="21" t="s">
        <v>165</v>
      </c>
      <c r="B54" s="31">
        <v>0.8</v>
      </c>
      <c r="C54" s="21" t="s">
        <v>166</v>
      </c>
    </row>
    <row r="55" spans="1:4" x14ac:dyDescent="0.35">
      <c r="A55" s="21" t="s">
        <v>108</v>
      </c>
      <c r="B55" s="31">
        <v>1</v>
      </c>
      <c r="C55" s="21" t="s">
        <v>167</v>
      </c>
    </row>
    <row r="56" spans="1:4" x14ac:dyDescent="0.35">
      <c r="A56" s="21" t="s">
        <v>168</v>
      </c>
      <c r="B56" s="31">
        <v>1.2</v>
      </c>
      <c r="C56" s="21" t="s">
        <v>169</v>
      </c>
    </row>
    <row r="57" spans="1:4" x14ac:dyDescent="0.35">
      <c r="A57" s="21" t="s">
        <v>170</v>
      </c>
      <c r="B57" s="31">
        <v>1.4</v>
      </c>
      <c r="C57" s="21" t="s">
        <v>171</v>
      </c>
    </row>
    <row r="59" spans="1:4" ht="15.5" x14ac:dyDescent="0.35">
      <c r="A59" s="5" t="s">
        <v>172</v>
      </c>
    </row>
    <row r="60" spans="1:4" x14ac:dyDescent="0.35">
      <c r="A60" s="32" t="s">
        <v>173</v>
      </c>
    </row>
    <row r="61" spans="1:4" x14ac:dyDescent="0.35">
      <c r="A61" s="32" t="s">
        <v>174</v>
      </c>
    </row>
    <row r="62" spans="1:4" x14ac:dyDescent="0.35">
      <c r="A62" s="32" t="s">
        <v>175</v>
      </c>
    </row>
    <row r="63" spans="1:4" x14ac:dyDescent="0.35">
      <c r="A63" s="32" t="s">
        <v>176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F5597"/>
  </sheetPr>
  <dimension ref="A1:K19"/>
  <sheetViews>
    <sheetView showGridLines="0" workbookViewId="0">
      <pane xSplit="1" ySplit="5" topLeftCell="B6" activePane="bottomRight" state="frozen"/>
      <selection pane="topRight"/>
      <selection pane="bottomLeft"/>
      <selection pane="bottomRight" activeCell="B6" sqref="B6"/>
    </sheetView>
  </sheetViews>
  <sheetFormatPr defaultColWidth="8.6328125" defaultRowHeight="14.5" x14ac:dyDescent="0.35"/>
  <cols>
    <col min="1" max="1" width="30" customWidth="1"/>
    <col min="2" max="2" width="14" customWidth="1"/>
    <col min="3" max="4" width="16" customWidth="1"/>
    <col min="5" max="5" width="60" customWidth="1"/>
    <col min="6" max="6" width="18" customWidth="1"/>
    <col min="7" max="8" width="14" customWidth="1"/>
    <col min="9" max="9" width="34" customWidth="1"/>
    <col min="10" max="10" width="12" customWidth="1"/>
    <col min="11" max="11" width="14" customWidth="1"/>
  </cols>
  <sheetData>
    <row r="1" spans="1:11" ht="20" x14ac:dyDescent="0.4">
      <c r="A1" s="2" t="s">
        <v>177</v>
      </c>
    </row>
    <row r="2" spans="1:11" x14ac:dyDescent="0.35">
      <c r="A2" s="1" t="s">
        <v>178</v>
      </c>
    </row>
    <row r="5" spans="1:11" ht="33.75" customHeight="1" x14ac:dyDescent="0.35">
      <c r="A5" s="16" t="s">
        <v>179</v>
      </c>
      <c r="B5" s="16" t="s">
        <v>180</v>
      </c>
      <c r="C5" s="16" t="s">
        <v>181</v>
      </c>
      <c r="D5" s="16" t="s">
        <v>182</v>
      </c>
      <c r="E5" s="16" t="s">
        <v>183</v>
      </c>
      <c r="F5" s="16" t="s">
        <v>184</v>
      </c>
      <c r="G5" s="16" t="s">
        <v>185</v>
      </c>
      <c r="H5" s="16" t="s">
        <v>186</v>
      </c>
      <c r="I5" s="16" t="s">
        <v>187</v>
      </c>
      <c r="J5" s="16" t="s">
        <v>188</v>
      </c>
      <c r="K5" s="16" t="s">
        <v>189</v>
      </c>
    </row>
    <row r="6" spans="1:11" x14ac:dyDescent="0.35">
      <c r="A6" s="21" t="s">
        <v>190</v>
      </c>
      <c r="B6" s="21" t="s">
        <v>191</v>
      </c>
      <c r="C6" s="33">
        <v>12</v>
      </c>
      <c r="D6" s="33">
        <v>20</v>
      </c>
      <c r="E6" s="24" t="s">
        <v>192</v>
      </c>
      <c r="F6" s="21" t="s">
        <v>193</v>
      </c>
      <c r="G6" s="22">
        <v>46204</v>
      </c>
      <c r="H6" s="22">
        <v>46569</v>
      </c>
      <c r="I6" s="25" t="str">
        <f ca="1">IF(A6="","",IF(OR(NOT(ISNUMBER(C6)),NOT(ISNUMBER(D6)),C6&lt;1,D6&gt;25,D6&lt;C6),"Invalid thresholds",IF(COUNTIF($A$6:$A$17,A6)&gt;1,"Duplicate category",IF(OR(F6="",NOT(ISNUMBER(G6)),G6&lt;=0),"Not approved",IF(G6&gt;Methodology!$B$4,"Approval date in future",IF(OR(NOT(ISNUMBER(K6)),K6&lt;=0),"Effective date missing",IF(K6&gt;Methodology!$B$4,"Not yet effective",IF(G6&gt;K6,"Approval after effective date",IF(J6="","Threshold version missing",IF(OR(NOT(ISNUMBER(H6)),H6&lt;K6),"Review date invalid",IF(H6&lt;Methodology!$B$4,"Review overdue - approved","OK")))))))))))</f>
        <v>OK</v>
      </c>
      <c r="J6" s="33" t="s">
        <v>194</v>
      </c>
      <c r="K6" s="34">
        <v>46204</v>
      </c>
    </row>
    <row r="7" spans="1:11" x14ac:dyDescent="0.35">
      <c r="A7" s="21" t="s">
        <v>95</v>
      </c>
      <c r="B7" s="21" t="s">
        <v>195</v>
      </c>
      <c r="C7" s="33">
        <v>9</v>
      </c>
      <c r="D7" s="33">
        <v>15</v>
      </c>
      <c r="E7" s="24" t="s">
        <v>196</v>
      </c>
      <c r="F7" s="21" t="s">
        <v>193</v>
      </c>
      <c r="G7" s="22">
        <v>46204</v>
      </c>
      <c r="H7" s="22">
        <v>46569</v>
      </c>
      <c r="I7" s="25" t="str">
        <f ca="1">IF(A7="","",IF(OR(NOT(ISNUMBER(C7)),NOT(ISNUMBER(D7)),C7&lt;1,D7&gt;25,D7&lt;C7),"Invalid thresholds",IF(COUNTIF($A$6:$A$17,A7)&gt;1,"Duplicate category",IF(OR(F7="",NOT(ISNUMBER(G7)),G7&lt;=0),"Not approved",IF(G7&gt;Methodology!$B$4,"Approval date in future",IF(OR(NOT(ISNUMBER(K7)),K7&lt;=0),"Effective date missing",IF(K7&gt;Methodology!$B$4,"Not yet effective",IF(G7&gt;K7,"Approval after effective date",IF(J7="","Threshold version missing",IF(OR(NOT(ISNUMBER(H7)),H7&lt;K7),"Review date invalid",IF(H7&lt;Methodology!$B$4,"Review overdue - approved","OK")))))))))))</f>
        <v>OK</v>
      </c>
      <c r="J7" s="33" t="s">
        <v>194</v>
      </c>
      <c r="K7" s="34">
        <v>46204</v>
      </c>
    </row>
    <row r="8" spans="1:11" x14ac:dyDescent="0.35">
      <c r="A8" s="21" t="s">
        <v>197</v>
      </c>
      <c r="B8" s="21" t="s">
        <v>198</v>
      </c>
      <c r="C8" s="33">
        <v>6</v>
      </c>
      <c r="D8" s="33">
        <v>10</v>
      </c>
      <c r="E8" s="24" t="s">
        <v>199</v>
      </c>
      <c r="F8" s="21" t="s">
        <v>193</v>
      </c>
      <c r="G8" s="22">
        <v>46204</v>
      </c>
      <c r="H8" s="22">
        <v>46569</v>
      </c>
      <c r="I8" s="25" t="str">
        <f ca="1">IF(A8="","",IF(OR(NOT(ISNUMBER(C8)),NOT(ISNUMBER(D8)),C8&lt;1,D8&gt;25,D8&lt;C8),"Invalid thresholds",IF(COUNTIF($A$6:$A$17,A8)&gt;1,"Duplicate category",IF(OR(F8="",NOT(ISNUMBER(G8)),G8&lt;=0),"Not approved",IF(G8&gt;Methodology!$B$4,"Approval date in future",IF(OR(NOT(ISNUMBER(K8)),K8&lt;=0),"Effective date missing",IF(K8&gt;Methodology!$B$4,"Not yet effective",IF(G8&gt;K8,"Approval after effective date",IF(J8="","Threshold version missing",IF(OR(NOT(ISNUMBER(H8)),H8&lt;K8),"Review date invalid",IF(H8&lt;Methodology!$B$4,"Review overdue - approved","OK")))))))))))</f>
        <v>OK</v>
      </c>
      <c r="J8" s="33" t="s">
        <v>194</v>
      </c>
      <c r="K8" s="34">
        <v>46204</v>
      </c>
    </row>
    <row r="9" spans="1:11" x14ac:dyDescent="0.35">
      <c r="A9" s="21" t="s">
        <v>200</v>
      </c>
      <c r="B9" s="21" t="s">
        <v>201</v>
      </c>
      <c r="C9" s="33">
        <v>4</v>
      </c>
      <c r="D9" s="33">
        <v>8</v>
      </c>
      <c r="E9" s="24" t="s">
        <v>202</v>
      </c>
      <c r="F9" s="21" t="s">
        <v>193</v>
      </c>
      <c r="G9" s="22">
        <v>46204</v>
      </c>
      <c r="H9" s="22">
        <v>46569</v>
      </c>
      <c r="I9" s="25" t="str">
        <f ca="1">IF(A9="","",IF(OR(NOT(ISNUMBER(C9)),NOT(ISNUMBER(D9)),C9&lt;1,D9&gt;25,D9&lt;C9),"Invalid thresholds",IF(COUNTIF($A$6:$A$17,A9)&gt;1,"Duplicate category",IF(OR(F9="",NOT(ISNUMBER(G9)),G9&lt;=0),"Not approved",IF(G9&gt;Methodology!$B$4,"Approval date in future",IF(OR(NOT(ISNUMBER(K9)),K9&lt;=0),"Effective date missing",IF(K9&gt;Methodology!$B$4,"Not yet effective",IF(G9&gt;K9,"Approval after effective date",IF(J9="","Threshold version missing",IF(OR(NOT(ISNUMBER(H9)),H9&lt;K9),"Review date invalid",IF(H9&lt;Methodology!$B$4,"Review overdue - approved","OK")))))))))))</f>
        <v>OK</v>
      </c>
      <c r="J9" s="33" t="s">
        <v>194</v>
      </c>
      <c r="K9" s="34">
        <v>46204</v>
      </c>
    </row>
    <row r="10" spans="1:11" x14ac:dyDescent="0.35">
      <c r="A10" s="21" t="s">
        <v>94</v>
      </c>
      <c r="B10" s="21" t="s">
        <v>195</v>
      </c>
      <c r="C10" s="33">
        <v>9</v>
      </c>
      <c r="D10" s="33">
        <v>15</v>
      </c>
      <c r="E10" s="24" t="s">
        <v>203</v>
      </c>
      <c r="F10" s="21" t="s">
        <v>193</v>
      </c>
      <c r="G10" s="22">
        <v>46204</v>
      </c>
      <c r="H10" s="22">
        <v>46569</v>
      </c>
      <c r="I10" s="25" t="str">
        <f ca="1">IF(A10="","",IF(OR(NOT(ISNUMBER(C10)),NOT(ISNUMBER(D10)),C10&lt;1,D10&gt;25,D10&lt;C10),"Invalid thresholds",IF(COUNTIF($A$6:$A$17,A10)&gt;1,"Duplicate category",IF(OR(F10="",NOT(ISNUMBER(G10)),G10&lt;=0),"Not approved",IF(G10&gt;Methodology!$B$4,"Approval date in future",IF(OR(NOT(ISNUMBER(K10)),K10&lt;=0),"Effective date missing",IF(K10&gt;Methodology!$B$4,"Not yet effective",IF(G10&gt;K10,"Approval after effective date",IF(J10="","Threshold version missing",IF(OR(NOT(ISNUMBER(H10)),H10&lt;K10),"Review date invalid",IF(H10&lt;Methodology!$B$4,"Review overdue - approved","OK")))))))))))</f>
        <v>OK</v>
      </c>
      <c r="J10" s="33" t="s">
        <v>194</v>
      </c>
      <c r="K10" s="34">
        <v>46204</v>
      </c>
    </row>
    <row r="11" spans="1:11" x14ac:dyDescent="0.35">
      <c r="A11" s="21" t="s">
        <v>204</v>
      </c>
      <c r="B11" s="21" t="s">
        <v>195</v>
      </c>
      <c r="C11" s="33">
        <v>9</v>
      </c>
      <c r="D11" s="33">
        <v>15</v>
      </c>
      <c r="E11" s="24" t="s">
        <v>205</v>
      </c>
      <c r="F11" s="21" t="s">
        <v>193</v>
      </c>
      <c r="G11" s="22">
        <v>46204</v>
      </c>
      <c r="H11" s="22">
        <v>46569</v>
      </c>
      <c r="I11" s="25" t="str">
        <f ca="1">IF(A11="","",IF(OR(NOT(ISNUMBER(C11)),NOT(ISNUMBER(D11)),C11&lt;1,D11&gt;25,D11&lt;C11),"Invalid thresholds",IF(COUNTIF($A$6:$A$17,A11)&gt;1,"Duplicate category",IF(OR(F11="",NOT(ISNUMBER(G11)),G11&lt;=0),"Not approved",IF(G11&gt;Methodology!$B$4,"Approval date in future",IF(OR(NOT(ISNUMBER(K11)),K11&lt;=0),"Effective date missing",IF(K11&gt;Methodology!$B$4,"Not yet effective",IF(G11&gt;K11,"Approval after effective date",IF(J11="","Threshold version missing",IF(OR(NOT(ISNUMBER(H11)),H11&lt;K11),"Review date invalid",IF(H11&lt;Methodology!$B$4,"Review overdue - approved","OK")))))))))))</f>
        <v>OK</v>
      </c>
      <c r="J11" s="33" t="s">
        <v>194</v>
      </c>
      <c r="K11" s="34">
        <v>46204</v>
      </c>
    </row>
    <row r="12" spans="1:11" x14ac:dyDescent="0.35">
      <c r="A12" s="21" t="s">
        <v>206</v>
      </c>
      <c r="B12" s="21" t="s">
        <v>195</v>
      </c>
      <c r="C12" s="33">
        <v>9</v>
      </c>
      <c r="D12" s="33">
        <v>15</v>
      </c>
      <c r="E12" s="24" t="s">
        <v>207</v>
      </c>
      <c r="F12" s="21" t="s">
        <v>193</v>
      </c>
      <c r="G12" s="22">
        <v>46204</v>
      </c>
      <c r="H12" s="22">
        <v>46569</v>
      </c>
      <c r="I12" s="25" t="str">
        <f ca="1">IF(A12="","",IF(OR(NOT(ISNUMBER(C12)),NOT(ISNUMBER(D12)),C12&lt;1,D12&gt;25,D12&lt;C12),"Invalid thresholds",IF(COUNTIF($A$6:$A$17,A12)&gt;1,"Duplicate category",IF(OR(F12="",NOT(ISNUMBER(G12)),G12&lt;=0),"Not approved",IF(G12&gt;Methodology!$B$4,"Approval date in future",IF(OR(NOT(ISNUMBER(K12)),K12&lt;=0),"Effective date missing",IF(K12&gt;Methodology!$B$4,"Not yet effective",IF(G12&gt;K12,"Approval after effective date",IF(J12="","Threshold version missing",IF(OR(NOT(ISNUMBER(H12)),H12&lt;K12),"Review date invalid",IF(H12&lt;Methodology!$B$4,"Review overdue - approved","OK")))))))))))</f>
        <v>OK</v>
      </c>
      <c r="J12" s="33" t="s">
        <v>194</v>
      </c>
      <c r="K12" s="34">
        <v>46204</v>
      </c>
    </row>
    <row r="13" spans="1:11" x14ac:dyDescent="0.35">
      <c r="A13" s="21" t="s">
        <v>208</v>
      </c>
      <c r="B13" s="21" t="s">
        <v>198</v>
      </c>
      <c r="C13" s="33">
        <v>6</v>
      </c>
      <c r="D13" s="33">
        <v>10</v>
      </c>
      <c r="E13" s="24" t="s">
        <v>209</v>
      </c>
      <c r="F13" s="21" t="s">
        <v>193</v>
      </c>
      <c r="G13" s="22">
        <v>46204</v>
      </c>
      <c r="H13" s="22">
        <v>46569</v>
      </c>
      <c r="I13" s="25" t="str">
        <f ca="1">IF(A13="","",IF(OR(NOT(ISNUMBER(C13)),NOT(ISNUMBER(D13)),C13&lt;1,D13&gt;25,D13&lt;C13),"Invalid thresholds",IF(COUNTIF($A$6:$A$17,A13)&gt;1,"Duplicate category",IF(OR(F13="",NOT(ISNUMBER(G13)),G13&lt;=0),"Not approved",IF(G13&gt;Methodology!$B$4,"Approval date in future",IF(OR(NOT(ISNUMBER(K13)),K13&lt;=0),"Effective date missing",IF(K13&gt;Methodology!$B$4,"Not yet effective",IF(G13&gt;K13,"Approval after effective date",IF(J13="","Threshold version missing",IF(OR(NOT(ISNUMBER(H13)),H13&lt;K13),"Review date invalid",IF(H13&lt;Methodology!$B$4,"Review overdue - approved","OK")))))))))))</f>
        <v>OK</v>
      </c>
      <c r="J13" s="33" t="s">
        <v>194</v>
      </c>
      <c r="K13" s="34">
        <v>46204</v>
      </c>
    </row>
    <row r="14" spans="1:11" x14ac:dyDescent="0.35">
      <c r="A14" s="21" t="s">
        <v>210</v>
      </c>
      <c r="B14" s="21" t="s">
        <v>195</v>
      </c>
      <c r="C14" s="33">
        <v>9</v>
      </c>
      <c r="D14" s="33">
        <v>15</v>
      </c>
      <c r="E14" s="24" t="s">
        <v>211</v>
      </c>
      <c r="F14" s="21" t="s">
        <v>193</v>
      </c>
      <c r="G14" s="22">
        <v>46204</v>
      </c>
      <c r="H14" s="22">
        <v>46569</v>
      </c>
      <c r="I14" s="25" t="str">
        <f ca="1">IF(A14="","",IF(OR(NOT(ISNUMBER(C14)),NOT(ISNUMBER(D14)),C14&lt;1,D14&gt;25,D14&lt;C14),"Invalid thresholds",IF(COUNTIF($A$6:$A$17,A14)&gt;1,"Duplicate category",IF(OR(F14="",NOT(ISNUMBER(G14)),G14&lt;=0),"Not approved",IF(G14&gt;Methodology!$B$4,"Approval date in future",IF(OR(NOT(ISNUMBER(K14)),K14&lt;=0),"Effective date missing",IF(K14&gt;Methodology!$B$4,"Not yet effective",IF(G14&gt;K14,"Approval after effective date",IF(J14="","Threshold version missing",IF(OR(NOT(ISNUMBER(H14)),H14&lt;K14),"Review date invalid",IF(H14&lt;Methodology!$B$4,"Review overdue - approved","OK")))))))))))</f>
        <v>OK</v>
      </c>
      <c r="J14" s="33" t="s">
        <v>194</v>
      </c>
      <c r="K14" s="34">
        <v>46204</v>
      </c>
    </row>
    <row r="15" spans="1:11" x14ac:dyDescent="0.35">
      <c r="A15" s="21"/>
      <c r="B15" s="21"/>
      <c r="C15" s="33"/>
      <c r="D15" s="33"/>
      <c r="E15" s="24"/>
      <c r="F15" s="21"/>
      <c r="G15" s="22"/>
      <c r="H15" s="22"/>
      <c r="I15" s="25" t="str">
        <f>IF(A15="","",IF(OR(NOT(ISNUMBER(C15)),NOT(ISNUMBER(D15)),C15&lt;1,D15&gt;25,D15&lt;C15),"Invalid thresholds",IF(COUNTIF($A$6:$A$17,A15)&gt;1,"Duplicate category",IF(OR(F15="",NOT(ISNUMBER(G15)),G15&lt;=0),"Not approved",IF(G15&gt;Methodology!$B$4,"Approval date in future",IF(OR(NOT(ISNUMBER(K15)),K15&lt;=0),"Effective date missing",IF(K15&gt;Methodology!$B$4,"Not yet effective",IF(G15&gt;K15,"Approval after effective date",IF(J15="","Threshold version missing",IF(OR(NOT(ISNUMBER(H15)),H15&lt;K15),"Review date invalid",IF(H15&lt;Methodology!$B$4,"Review overdue - approved","OK")))))))))))</f>
        <v/>
      </c>
      <c r="J15" s="33"/>
      <c r="K15" s="34"/>
    </row>
    <row r="16" spans="1:11" x14ac:dyDescent="0.35">
      <c r="A16" s="21"/>
      <c r="B16" s="21"/>
      <c r="C16" s="33"/>
      <c r="D16" s="33"/>
      <c r="E16" s="24"/>
      <c r="F16" s="21"/>
      <c r="G16" s="22"/>
      <c r="H16" s="22"/>
      <c r="I16" s="25" t="str">
        <f>IF(A16="","",IF(OR(NOT(ISNUMBER(C16)),NOT(ISNUMBER(D16)),C16&lt;1,D16&gt;25,D16&lt;C16),"Invalid thresholds",IF(COUNTIF($A$6:$A$17,A16)&gt;1,"Duplicate category",IF(OR(F16="",NOT(ISNUMBER(G16)),G16&lt;=0),"Not approved",IF(G16&gt;Methodology!$B$4,"Approval date in future",IF(OR(NOT(ISNUMBER(K16)),K16&lt;=0),"Effective date missing",IF(K16&gt;Methodology!$B$4,"Not yet effective",IF(G16&gt;K16,"Approval after effective date",IF(J16="","Threshold version missing",IF(OR(NOT(ISNUMBER(H16)),H16&lt;K16),"Review date invalid",IF(H16&lt;Methodology!$B$4,"Review overdue - approved","OK")))))))))))</f>
        <v/>
      </c>
      <c r="J16" s="33"/>
      <c r="K16" s="34"/>
    </row>
    <row r="17" spans="1:11" x14ac:dyDescent="0.35">
      <c r="A17" s="21"/>
      <c r="B17" s="21"/>
      <c r="C17" s="33"/>
      <c r="D17" s="33"/>
      <c r="E17" s="24"/>
      <c r="F17" s="21"/>
      <c r="G17" s="22"/>
      <c r="H17" s="22"/>
      <c r="I17" s="25" t="str">
        <f>IF(A17="","",IF(OR(NOT(ISNUMBER(C17)),NOT(ISNUMBER(D17)),C17&lt;1,D17&gt;25,D17&lt;C17),"Invalid thresholds",IF(COUNTIF($A$6:$A$17,A17)&gt;1,"Duplicate category",IF(OR(F17="",NOT(ISNUMBER(G17)),G17&lt;=0),"Not approved",IF(G17&gt;Methodology!$B$4,"Approval date in future",IF(OR(NOT(ISNUMBER(K17)),K17&lt;=0),"Effective date missing",IF(K17&gt;Methodology!$B$4,"Not yet effective",IF(G17&gt;K17,"Approval after effective date",IF(J17="","Threshold version missing",IF(OR(NOT(ISNUMBER(H17)),H17&lt;K17),"Review date invalid",IF(H17&lt;Methodology!$B$4,"Review overdue - approved","OK")))))))))))</f>
        <v/>
      </c>
      <c r="J17" s="33"/>
      <c r="K17" s="34"/>
    </row>
    <row r="19" spans="1:11" x14ac:dyDescent="0.35">
      <c r="A19" s="1" t="s">
        <v>212</v>
      </c>
    </row>
  </sheetData>
  <autoFilter ref="A5:K19" xr:uid="{00000000-0001-0000-0300-000000000000}"/>
  <conditionalFormatting sqref="I6:I17">
    <cfRule type="expression" dxfId="82" priority="2">
      <formula>AND(I6&lt;&gt;"",I6&lt;&gt;"OK")</formula>
    </cfRule>
    <cfRule type="expression" dxfId="81" priority="3">
      <formula>I6="OK"</formula>
    </cfRule>
  </conditionalFormatting>
  <dataValidations count="2">
    <dataValidation type="list" allowBlank="1" sqref="B6:B17" xr:uid="{00000000-0002-0000-0300-000000000000}">
      <formula1>"Averse,Minimal,Cautious,Open"</formula1>
      <formula2>0</formula2>
    </dataValidation>
    <dataValidation type="whole" allowBlank="1" sqref="C6:D17" xr:uid="{00000000-0002-0000-0300-000001000000}">
      <formula1>1</formula1>
      <formula2>25</formula2>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F5597"/>
  </sheetPr>
  <dimension ref="A1:AL105"/>
  <sheetViews>
    <sheetView showGridLines="0" workbookViewId="0">
      <pane xSplit="2" ySplit="5" topLeftCell="AI6" activePane="bottomRight" state="frozen"/>
      <selection pane="topRight"/>
      <selection pane="bottomLeft"/>
      <selection pane="bottomRight" activeCell="AL6" sqref="AL6:AL105"/>
    </sheetView>
  </sheetViews>
  <sheetFormatPr defaultColWidth="8.6328125" defaultRowHeight="14.5" x14ac:dyDescent="0.35"/>
  <cols>
    <col min="1" max="1" width="9" customWidth="1"/>
    <col min="2" max="2" width="28" customWidth="1"/>
    <col min="3" max="3" width="44" customWidth="1"/>
    <col min="4" max="4" width="26" customWidth="1"/>
    <col min="5" max="5" width="18" customWidth="1"/>
    <col min="6" max="7" width="11" customWidth="1"/>
    <col min="8" max="8" width="10" customWidth="1"/>
    <col min="9" max="9" width="11" customWidth="1"/>
    <col min="10" max="10" width="14" customWidth="1"/>
    <col min="11" max="12" width="12" customWidth="1"/>
    <col min="13" max="13" width="11" customWidth="1"/>
    <col min="14" max="15" width="10" customWidth="1"/>
    <col min="16" max="16" width="11" customWidth="1"/>
    <col min="17" max="18" width="9" customWidth="1"/>
    <col min="19" max="19" width="11" customWidth="1"/>
    <col min="20" max="20" width="10" customWidth="1"/>
    <col min="21" max="21" width="17" customWidth="1"/>
    <col min="22" max="22" width="13" customWidth="1"/>
    <col min="23" max="23" width="16" customWidth="1"/>
    <col min="24" max="24" width="14" customWidth="1"/>
    <col min="25" max="25" width="30" customWidth="1"/>
    <col min="26" max="26" width="14" customWidth="1"/>
    <col min="27" max="27" width="12" customWidth="1"/>
    <col min="28" max="29" width="9" customWidth="1"/>
    <col min="30" max="30" width="10" customWidth="1"/>
    <col min="31" max="31" width="30" customWidth="1"/>
    <col min="32" max="32" width="18" customWidth="1"/>
    <col min="33" max="33" width="13" customWidth="1"/>
    <col min="34" max="34" width="18" customWidth="1"/>
    <col min="35" max="36" width="16" customWidth="1"/>
    <col min="37" max="37" width="30" customWidth="1"/>
    <col min="38" max="38" width="25.6328125" customWidth="1"/>
  </cols>
  <sheetData>
    <row r="1" spans="1:38" ht="20" x14ac:dyDescent="0.4">
      <c r="A1" s="2" t="s">
        <v>213</v>
      </c>
    </row>
    <row r="2" spans="1:38" x14ac:dyDescent="0.35">
      <c r="A2" s="70" t="s">
        <v>214</v>
      </c>
      <c r="B2" s="70"/>
      <c r="C2" s="70"/>
      <c r="D2" s="70"/>
      <c r="E2" s="70"/>
      <c r="F2" s="70"/>
      <c r="G2" s="70"/>
      <c r="H2" s="70"/>
      <c r="I2" s="70"/>
      <c r="J2" s="70"/>
      <c r="K2" s="70"/>
      <c r="L2" s="70"/>
    </row>
    <row r="4" spans="1:38" x14ac:dyDescent="0.35">
      <c r="A4" s="71" t="s">
        <v>215</v>
      </c>
      <c r="B4" s="71"/>
      <c r="C4" s="71"/>
      <c r="D4" s="71"/>
      <c r="E4" s="71"/>
      <c r="F4" s="71" t="s">
        <v>216</v>
      </c>
      <c r="G4" s="71"/>
      <c r="H4" s="71"/>
      <c r="I4" s="71"/>
      <c r="J4" s="71" t="s">
        <v>217</v>
      </c>
      <c r="K4" s="71"/>
      <c r="L4" s="71"/>
      <c r="M4" s="71"/>
      <c r="N4" s="71"/>
      <c r="O4" s="71"/>
      <c r="P4" s="71"/>
      <c r="Q4" s="71" t="s">
        <v>218</v>
      </c>
      <c r="R4" s="71"/>
      <c r="S4" s="71" t="s">
        <v>219</v>
      </c>
      <c r="T4" s="71"/>
      <c r="U4" s="71"/>
      <c r="V4" s="71" t="s">
        <v>220</v>
      </c>
      <c r="W4" s="71"/>
      <c r="X4" s="71"/>
      <c r="Y4" s="71"/>
      <c r="Z4" s="71" t="s">
        <v>221</v>
      </c>
      <c r="AA4" s="71"/>
      <c r="AB4" s="71" t="s">
        <v>222</v>
      </c>
      <c r="AC4" s="71"/>
      <c r="AD4" s="71"/>
      <c r="AE4" s="71" t="s">
        <v>223</v>
      </c>
      <c r="AF4" s="71"/>
      <c r="AG4" s="71"/>
      <c r="AH4" s="71"/>
      <c r="AI4" s="71"/>
      <c r="AJ4" s="71"/>
      <c r="AK4" s="71"/>
    </row>
    <row r="5" spans="1:38" ht="57.75" customHeight="1" x14ac:dyDescent="0.35">
      <c r="A5" s="16" t="s">
        <v>224</v>
      </c>
      <c r="B5" s="16" t="s">
        <v>225</v>
      </c>
      <c r="C5" s="16" t="s">
        <v>226</v>
      </c>
      <c r="D5" s="16" t="s">
        <v>55</v>
      </c>
      <c r="E5" s="16" t="s">
        <v>227</v>
      </c>
      <c r="F5" s="16" t="s">
        <v>228</v>
      </c>
      <c r="G5" s="16" t="s">
        <v>229</v>
      </c>
      <c r="H5" s="16" t="s">
        <v>230</v>
      </c>
      <c r="I5" s="16" t="s">
        <v>231</v>
      </c>
      <c r="J5" s="16" t="s">
        <v>232</v>
      </c>
      <c r="K5" s="16" t="s">
        <v>233</v>
      </c>
      <c r="L5" s="16" t="s">
        <v>234</v>
      </c>
      <c r="M5" s="16" t="s">
        <v>235</v>
      </c>
      <c r="N5" s="16" t="s">
        <v>236</v>
      </c>
      <c r="O5" s="16" t="s">
        <v>237</v>
      </c>
      <c r="P5" s="16" t="s">
        <v>238</v>
      </c>
      <c r="Q5" s="16" t="s">
        <v>239</v>
      </c>
      <c r="R5" s="16" t="s">
        <v>240</v>
      </c>
      <c r="S5" s="16" t="s">
        <v>58</v>
      </c>
      <c r="T5" s="16" t="s">
        <v>241</v>
      </c>
      <c r="U5" s="16" t="s">
        <v>148</v>
      </c>
      <c r="V5" s="16" t="s">
        <v>242</v>
      </c>
      <c r="W5" s="16" t="s">
        <v>243</v>
      </c>
      <c r="X5" s="16" t="s">
        <v>244</v>
      </c>
      <c r="Y5" s="16" t="s">
        <v>245</v>
      </c>
      <c r="Z5" s="16" t="s">
        <v>246</v>
      </c>
      <c r="AA5" s="16" t="s">
        <v>247</v>
      </c>
      <c r="AB5" s="16" t="s">
        <v>248</v>
      </c>
      <c r="AC5" s="16" t="s">
        <v>249</v>
      </c>
      <c r="AD5" s="16" t="s">
        <v>250</v>
      </c>
      <c r="AE5" s="16" t="s">
        <v>251</v>
      </c>
      <c r="AF5" s="16" t="s">
        <v>252</v>
      </c>
      <c r="AG5" s="16" t="s">
        <v>253</v>
      </c>
      <c r="AH5" s="16" t="s">
        <v>254</v>
      </c>
      <c r="AI5" s="16" t="s">
        <v>255</v>
      </c>
      <c r="AJ5" s="16" t="s">
        <v>256</v>
      </c>
      <c r="AK5" s="16" t="s">
        <v>257</v>
      </c>
      <c r="AL5" s="16" t="s">
        <v>764</v>
      </c>
    </row>
    <row r="6" spans="1:38" ht="25" x14ac:dyDescent="0.35">
      <c r="A6" s="35" t="s">
        <v>258</v>
      </c>
      <c r="B6" s="24" t="s">
        <v>259</v>
      </c>
      <c r="C6" s="24" t="s">
        <v>260</v>
      </c>
      <c r="D6" s="35" t="s">
        <v>197</v>
      </c>
      <c r="E6" s="35" t="s">
        <v>261</v>
      </c>
      <c r="F6" s="36">
        <v>4</v>
      </c>
      <c r="G6" s="36">
        <v>5</v>
      </c>
      <c r="H6" s="37">
        <f t="shared" ref="H6:H13" si="0">IF(A6="","",IF(OR(F6="",G6=""),"",IF(OR(NOT(ISNUMBER(F6)),NOT(ISNUMBER(G6))),"Invalid inherent ratings",IF(OR(F6&lt;1,F6&gt;5,G6&lt;1,G6&gt;5,INT(F6)&lt;&gt;F6,INT(G6)&lt;&gt;G6),"Invalid inherent ratings",F6*G6))))</f>
        <v>20</v>
      </c>
      <c r="I6" s="38" t="str">
        <f>IF(NOT(ISNUMBER(H6)),"",INDEX(Methodology!$B$26:$B$29,MATCH(H6,Methodology!$A$26:$A$29,1)))</f>
        <v>Critical</v>
      </c>
      <c r="J6" s="35" t="s">
        <v>141</v>
      </c>
      <c r="K6" s="36">
        <v>3</v>
      </c>
      <c r="L6" s="36">
        <v>5</v>
      </c>
      <c r="M6" s="37">
        <f t="shared" ref="M6:M13" ca="1" si="1">IF(NOT(ISNUMBER(H6)),"",IF(AI6="Valid",K6,F6))</f>
        <v>3</v>
      </c>
      <c r="N6" s="37">
        <f t="shared" ref="N6:N13" ca="1" si="2">IF(NOT(ISNUMBER(H6)),"",IF(AI6="Valid",L6,G6))</f>
        <v>5</v>
      </c>
      <c r="O6" s="37">
        <f t="shared" ref="O6:O13" ca="1" si="3">IF(OR(M6="",N6=""),"",M6*N6)</f>
        <v>15</v>
      </c>
      <c r="P6" s="38" t="str">
        <f ca="1">IF(O6="","",INDEX(Methodology!$B$26:$B$29,MATCH(O6,Methodology!$A$26:$A$29,1)))</f>
        <v>High</v>
      </c>
      <c r="Q6" s="36">
        <v>8</v>
      </c>
      <c r="R6" s="37">
        <f t="shared" ref="R6:R13" ca="1" si="4">IF(OR(O6="",Q6=""),"",O6-Q6)</f>
        <v>7</v>
      </c>
      <c r="S6" s="37">
        <f ca="1">IF(D6="","",IFERROR(IF(OR(INDEX(Appetite!$I$6:$I$17,MATCH(D6,Appetite!$A$6:$A$17,0))="OK",INDEX(Appetite!$I$6:$I$17,MATCH(D6,Appetite!$A$6:$A$17,0))="Review overdue - approved"),INDEX(Appetite!$C$6:$C$17,MATCH(D6,Appetite!$A$6:$A$17,0)),""),""))</f>
        <v>6</v>
      </c>
      <c r="T6" s="37">
        <f ca="1">IF(D6="","",IFERROR(IF(OR(INDEX(Appetite!$I$6:$I$17,MATCH(D6,Appetite!$A$6:$A$17,0))="OK",INDEX(Appetite!$I$6:$I$17,MATCH(D6,Appetite!$A$6:$A$17,0))="Review overdue - approved"),INDEX(Appetite!$D$6:$D$17,MATCH(D6,Appetite!$A$6:$A$17,0)),""),""))</f>
        <v>10</v>
      </c>
      <c r="U6" s="38" t="str">
        <f ca="1">IF(A6="","",IF(H6="Invalid inherent ratings","Invalid inherent ratings",IF(O6="","Assessment missing",IF(COUNTIF(Appetite!$A$6:$A$17,D6)=0,"Configuration missing",IF(OR(S6="",T6=""),"Configuration: "&amp;INDEX(Appetite!$I$6:$I$17,MATCH(D6,Appetite!$A$6:$A$17,0)),IF(O6&gt;T6,"Tolerance breach",IF(O6&gt;S6,"Appetite breach","Within appetite")))))))</f>
        <v>Tolerance breach</v>
      </c>
      <c r="V6" s="38" t="str">
        <f>IF(A6="","",IF(COUNTIFS('Risk Acceptance Register'!$B$6:$B$105,A6,'Risk Acceptance Register'!$I$6:$I$105,"Approved")&gt;0,"Yes","No"))</f>
        <v>No</v>
      </c>
      <c r="W6" s="38" t="str">
        <f>IF(V6&lt;&gt;"Yes","",IFERROR(IF(COUNTIFS('Risk Acceptance Register'!$B$6:$B$105,A6,'Risk Acceptance Register'!$T$6:$T$105,"Eligible")&gt;0,LOOKUP(2,1/(('Risk Acceptance Register'!$B$6:$B$105=A6)*('Risk Acceptance Register'!$T$6:$T$105="Eligible")),'Risk Acceptance Register'!$J$6:$J$105),LOOKUP(2,1/(('Risk Acceptance Register'!$B$6:$B$105=A6)*('Risk Acceptance Register'!$I$6:$I$105="Approved")),'Risk Acceptance Register'!$J$6:$J$105))&amp;"",""))</f>
        <v/>
      </c>
      <c r="X6" s="39" t="str">
        <f>IF(V6&lt;&gt;"Yes","",IFERROR(IF(IF(COUNTIFS('Risk Acceptance Register'!$B$6:$B$105,A6,'Risk Acceptance Register'!$T$6:$T$105,"Eligible")&gt;0,LOOKUP(2,1/(('Risk Acceptance Register'!$B$6:$B$105=A6)*('Risk Acceptance Register'!$T$6:$T$105="Eligible")),'Risk Acceptance Register'!$M$6:$M$105),LOOKUP(2,1/(('Risk Acceptance Register'!$B$6:$B$105=A6)*('Risk Acceptance Register'!$I$6:$I$105="Approved")),'Risk Acceptance Register'!$M$6:$M$105))=0,"",IF(COUNTIFS('Risk Acceptance Register'!$B$6:$B$105,A6,'Risk Acceptance Register'!$T$6:$T$105,"Eligible")&gt;0,LOOKUP(2,1/(('Risk Acceptance Register'!$B$6:$B$105=A6)*('Risk Acceptance Register'!$T$6:$T$105="Eligible")),'Risk Acceptance Register'!$M$6:$M$105),LOOKUP(2,1/(('Risk Acceptance Register'!$B$6:$B$105=A6)*('Risk Acceptance Register'!$I$6:$I$105="Approved")),'Risk Acceptance Register'!$M$6:$M$105))),""))</f>
        <v/>
      </c>
      <c r="Y6" s="38" t="str">
        <f ca="1">IF(A6="","",IF(U6="Within appetite","Within appetite",IF(AND(U6&lt;&gt;"Appetite breach",U6&lt;&gt;"Tolerance breach"),U6,IF(COUNTIFS('Risk Acceptance Register'!$B$6:$B$105,A6,'Risk Acceptance Register'!$T$6:$T$105,"Eligible")&gt;0,"Breach - formally accepted",IF(V6="Yes",IF(X6="","Accepted - expiry not set",IF(X6&lt;Methodology!$B$4,"Acceptance expired - breach open","Breach - not accepted")),"Breach - not accepted")))))</f>
        <v>Breach - not accepted</v>
      </c>
      <c r="Z6" s="40">
        <v>46356</v>
      </c>
      <c r="AA6" s="38" t="str">
        <f ca="1">IF(OR(A6="",Z6=""),"",IF(Z6&lt;Methodology!$B$4,"Overdue","On schedule"))</f>
        <v>On schedule</v>
      </c>
      <c r="AB6" s="38">
        <f ca="1">IF(OR(U6="",U6="Within appetite"),"",MAX(AB$5:AB5)+1)</f>
        <v>1</v>
      </c>
      <c r="AC6" s="38">
        <f>IF(A6="","",COUNTIF('Treatment Tracker'!$B$6:$B$105,A6)-COUNTIFS('Treatment Tracker'!$B$6:$B$105,A6,'Treatment Tracker'!$H$6:$H$105,"Completed")-COUNTIFS('Treatment Tracker'!$B$6:$B$105,A6,'Treatment Tracker'!$H$6:$H$105,"Cancelled"))</f>
        <v>2</v>
      </c>
      <c r="AD6" s="38" t="str">
        <f t="shared" ref="AD6:AD13" ca="1" si="5">IF(OR(U6="",U6="Within appetite"),"",IF(AND(AC6=0,Y6&lt;&gt;"Breach - formally accepted"),"Gap",""))</f>
        <v/>
      </c>
      <c r="AE6" s="35" t="s">
        <v>262</v>
      </c>
      <c r="AF6" s="35" t="s">
        <v>263</v>
      </c>
      <c r="AG6" s="40">
        <v>46280</v>
      </c>
      <c r="AH6" s="35" t="s">
        <v>261</v>
      </c>
      <c r="AI6" s="38" t="str">
        <f ca="1">IF(A6="","",IF(OR(K6="",L6=""),"No assessment",IF(OR(NOT(ISNUMBER(K6)),NOT(ISNUMBER(L6))),"Invalid residual ratings",IF(OR(K6&lt;1,K6&gt;5,L6&lt;1,L6&gt;5,INT(K6)&lt;&gt;K6,INT(L6)&lt;&gt;L6),"Invalid residual ratings",IF(OR(AE6="",AF6="",AG6="",AH6=""),"Incomplete evidence",IF(NOT(ISNUMBER(AG6)),"Invalid assessment date",IF(OR(AG6&gt;Methodology!$B$4,AG6&lt;=0),"Invalid assessment date",IF(AG6+Methodology!$B$3&lt;Methodology!$B$4,"Expired",IF(AL6&lt;&gt;"Approved","Approval not confirmed","Valid")))))))))</f>
        <v>Valid</v>
      </c>
      <c r="AJ6" s="38">
        <f>IF(OR(F6="",G6=""),"",MAX(1,ROUND(F6*(1-IFERROR(INDEX(Methodology!$B$41:$B$44,MATCH(J6,Methodology!$A$41:$A$44,0)),0)),0))*G6)</f>
        <v>15</v>
      </c>
      <c r="AK6" s="38" t="str">
        <f t="shared" ref="AK6:AK13" ca="1" si="6">IF(A6="","",IF(AI6="Valid","Assessed (evidence-supported)","Inherent only (no valid assessment)"))</f>
        <v>Assessed (evidence-supported)</v>
      </c>
      <c r="AL6" s="36" t="s">
        <v>369</v>
      </c>
    </row>
    <row r="7" spans="1:38" ht="25" x14ac:dyDescent="0.35">
      <c r="A7" s="35" t="s">
        <v>264</v>
      </c>
      <c r="B7" s="24" t="s">
        <v>265</v>
      </c>
      <c r="C7" s="24" t="s">
        <v>266</v>
      </c>
      <c r="D7" s="35" t="s">
        <v>204</v>
      </c>
      <c r="E7" s="35" t="s">
        <v>267</v>
      </c>
      <c r="F7" s="36">
        <v>4</v>
      </c>
      <c r="G7" s="36">
        <v>4</v>
      </c>
      <c r="H7" s="37">
        <f t="shared" si="0"/>
        <v>16</v>
      </c>
      <c r="I7" s="38" t="str">
        <f>IF(NOT(ISNUMBER(H7)),"",INDEX(Methodology!$B$26:$B$29,MATCH(H7,Methodology!$A$26:$A$29,1)))</f>
        <v>High</v>
      </c>
      <c r="J7" s="35" t="s">
        <v>143</v>
      </c>
      <c r="K7" s="36">
        <v>4</v>
      </c>
      <c r="L7" s="36">
        <v>4</v>
      </c>
      <c r="M7" s="37">
        <f t="shared" ca="1" si="1"/>
        <v>4</v>
      </c>
      <c r="N7" s="37">
        <f t="shared" ca="1" si="2"/>
        <v>4</v>
      </c>
      <c r="O7" s="37">
        <f t="shared" ca="1" si="3"/>
        <v>16</v>
      </c>
      <c r="P7" s="38" t="str">
        <f ca="1">IF(O7="","",INDEX(Methodology!$B$26:$B$29,MATCH(O7,Methodology!$A$26:$A$29,1)))</f>
        <v>High</v>
      </c>
      <c r="Q7" s="36">
        <v>9</v>
      </c>
      <c r="R7" s="37">
        <f t="shared" ca="1" si="4"/>
        <v>7</v>
      </c>
      <c r="S7" s="37">
        <f ca="1">IF(D7="","",IFERROR(IF(OR(INDEX(Appetite!$I$6:$I$17,MATCH(D7,Appetite!$A$6:$A$17,0))="OK",INDEX(Appetite!$I$6:$I$17,MATCH(D7,Appetite!$A$6:$A$17,0))="Review overdue - approved"),INDEX(Appetite!$C$6:$C$17,MATCH(D7,Appetite!$A$6:$A$17,0)),""),""))</f>
        <v>9</v>
      </c>
      <c r="T7" s="37">
        <f ca="1">IF(D7="","",IFERROR(IF(OR(INDEX(Appetite!$I$6:$I$17,MATCH(D7,Appetite!$A$6:$A$17,0))="OK",INDEX(Appetite!$I$6:$I$17,MATCH(D7,Appetite!$A$6:$A$17,0))="Review overdue - approved"),INDEX(Appetite!$D$6:$D$17,MATCH(D7,Appetite!$A$6:$A$17,0)),""),""))</f>
        <v>15</v>
      </c>
      <c r="U7" s="38" t="str">
        <f ca="1">IF(A7="","",IF(H7="Invalid inherent ratings","Invalid inherent ratings",IF(O7="","Assessment missing",IF(COUNTIF(Appetite!$A$6:$A$17,D7)=0,"Configuration missing",IF(OR(S7="",T7=""),"Configuration: "&amp;INDEX(Appetite!$I$6:$I$17,MATCH(D7,Appetite!$A$6:$A$17,0)),IF(O7&gt;T7,"Tolerance breach",IF(O7&gt;S7,"Appetite breach","Within appetite")))))))</f>
        <v>Tolerance breach</v>
      </c>
      <c r="V7" s="38" t="str">
        <f>IF(A7="","",IF(COUNTIFS('Risk Acceptance Register'!$B$6:$B$105,A7,'Risk Acceptance Register'!$I$6:$I$105,"Approved")&gt;0,"Yes","No"))</f>
        <v>Yes</v>
      </c>
      <c r="W7" s="38" t="str">
        <f ca="1">IF(V7&lt;&gt;"Yes","",IFERROR(IF(COUNTIFS('Risk Acceptance Register'!$B$6:$B$105,A7,'Risk Acceptance Register'!$T$6:$T$105,"Eligible")&gt;0,LOOKUP(2,1/(('Risk Acceptance Register'!$B$6:$B$105=A7)*('Risk Acceptance Register'!$T$6:$T$105="Eligible")),'Risk Acceptance Register'!$J$6:$J$105),LOOKUP(2,1/(('Risk Acceptance Register'!$B$6:$B$105=A7)*('Risk Acceptance Register'!$I$6:$I$105="Approved")),'Risk Acceptance Register'!$J$6:$J$105))&amp;"",""))</f>
        <v>CFO</v>
      </c>
      <c r="X7" s="39">
        <f ca="1">IF(V7&lt;&gt;"Yes","",IFERROR(IF(IF(COUNTIFS('Risk Acceptance Register'!$B$6:$B$105,A7,'Risk Acceptance Register'!$T$6:$T$105,"Eligible")&gt;0,LOOKUP(2,1/(('Risk Acceptance Register'!$B$6:$B$105=A7)*('Risk Acceptance Register'!$T$6:$T$105="Eligible")),'Risk Acceptance Register'!$M$6:$M$105),LOOKUP(2,1/(('Risk Acceptance Register'!$B$6:$B$105=A7)*('Risk Acceptance Register'!$I$6:$I$105="Approved")),'Risk Acceptance Register'!$M$6:$M$105))=0,"",IF(COUNTIFS('Risk Acceptance Register'!$B$6:$B$105,A7,'Risk Acceptance Register'!$T$6:$T$105,"Eligible")&gt;0,LOOKUP(2,1/(('Risk Acceptance Register'!$B$6:$B$105=A7)*('Risk Acceptance Register'!$T$6:$T$105="Eligible")),'Risk Acceptance Register'!$M$6:$M$105),LOOKUP(2,1/(('Risk Acceptance Register'!$B$6:$B$105=A7)*('Risk Acceptance Register'!$I$6:$I$105="Approved")),'Risk Acceptance Register'!$M$6:$M$105))),""))</f>
        <v>46295</v>
      </c>
      <c r="Y7" s="38" t="str">
        <f ca="1">IF(A7="","",IF(U7="Within appetite","Within appetite",IF(AND(U7&lt;&gt;"Appetite breach",U7&lt;&gt;"Tolerance breach"),U7,IF(COUNTIFS('Risk Acceptance Register'!$B$6:$B$105,A7,'Risk Acceptance Register'!$T$6:$T$105,"Eligible")&gt;0,"Breach - formally accepted",IF(V7="Yes",IF(X7="","Accepted - expiry not set",IF(X7&lt;Methodology!$B$4,"Acceptance expired - breach open","Breach - not accepted")),"Breach - not accepted")))))</f>
        <v>Acceptance expired - breach open</v>
      </c>
      <c r="Z7" s="40">
        <v>46280</v>
      </c>
      <c r="AA7" s="38" t="str">
        <f ca="1">IF(OR(A7="",Z7=""),"",IF(Z7&lt;Methodology!$B$4,"Overdue","On schedule"))</f>
        <v>Overdue</v>
      </c>
      <c r="AB7" s="38">
        <f ca="1">IF(OR(U7="",U7="Within appetite"),"",MAX(AB$5:AB6)+1)</f>
        <v>2</v>
      </c>
      <c r="AC7" s="38">
        <f>IF(A7="","",COUNTIF('Treatment Tracker'!$B$6:$B$105,A7)-COUNTIFS('Treatment Tracker'!$B$6:$B$105,A7,'Treatment Tracker'!$H$6:$H$105,"Completed")-COUNTIFS('Treatment Tracker'!$B$6:$B$105,A7,'Treatment Tracker'!$H$6:$H$105,"Cancelled"))</f>
        <v>0</v>
      </c>
      <c r="AD7" s="38" t="str">
        <f t="shared" ca="1" si="5"/>
        <v>Gap</v>
      </c>
      <c r="AE7" s="35" t="s">
        <v>268</v>
      </c>
      <c r="AF7" s="35" t="s">
        <v>269</v>
      </c>
      <c r="AG7" s="40">
        <v>46285</v>
      </c>
      <c r="AH7" s="35" t="s">
        <v>267</v>
      </c>
      <c r="AI7" s="38" t="str">
        <f ca="1">IF(A7="","",IF(OR(K7="",L7=""),"No assessment",IF(OR(NOT(ISNUMBER(K7)),NOT(ISNUMBER(L7))),"Invalid residual ratings",IF(OR(K7&lt;1,K7&gt;5,L7&lt;1,L7&gt;5,INT(K7)&lt;&gt;K7,INT(L7)&lt;&gt;L7),"Invalid residual ratings",IF(OR(AE7="",AF7="",AG7="",AH7=""),"Incomplete evidence",IF(NOT(ISNUMBER(AG7)),"Invalid assessment date",IF(OR(AG7&gt;Methodology!$B$4,AG7&lt;=0),"Invalid assessment date",IF(AG7+Methodology!$B$3&lt;Methodology!$B$4,"Expired",IF(AL7&lt;&gt;"Approved","Approval not confirmed","Valid")))))))))</f>
        <v>Valid</v>
      </c>
      <c r="AJ7" s="38">
        <f>IF(OR(F7="",G7=""),"",MAX(1,ROUND(F7*(1-IFERROR(INDEX(Methodology!$B$41:$B$44,MATCH(J7,Methodology!$A$41:$A$44,0)),0)),0))*G7)</f>
        <v>16</v>
      </c>
      <c r="AK7" s="38" t="str">
        <f t="shared" ca="1" si="6"/>
        <v>Assessed (evidence-supported)</v>
      </c>
      <c r="AL7" s="36" t="s">
        <v>369</v>
      </c>
    </row>
    <row r="8" spans="1:38" ht="25" x14ac:dyDescent="0.35">
      <c r="A8" s="35" t="s">
        <v>270</v>
      </c>
      <c r="B8" s="24" t="s">
        <v>271</v>
      </c>
      <c r="C8" s="24" t="s">
        <v>272</v>
      </c>
      <c r="D8" s="35" t="s">
        <v>208</v>
      </c>
      <c r="E8" s="35" t="s">
        <v>273</v>
      </c>
      <c r="F8" s="36">
        <v>3</v>
      </c>
      <c r="G8" s="36">
        <v>3</v>
      </c>
      <c r="H8" s="37">
        <f t="shared" si="0"/>
        <v>9</v>
      </c>
      <c r="I8" s="38" t="str">
        <f>IF(NOT(ISNUMBER(H8)),"",INDEX(Methodology!$B$26:$B$29,MATCH(H8,Methodology!$A$26:$A$29,1)))</f>
        <v>Medium</v>
      </c>
      <c r="J8" s="35" t="s">
        <v>143</v>
      </c>
      <c r="K8" s="36">
        <v>3</v>
      </c>
      <c r="L8" s="36">
        <v>3</v>
      </c>
      <c r="M8" s="37">
        <f t="shared" ca="1" si="1"/>
        <v>3</v>
      </c>
      <c r="N8" s="37">
        <f t="shared" ca="1" si="2"/>
        <v>3</v>
      </c>
      <c r="O8" s="37">
        <f t="shared" ca="1" si="3"/>
        <v>9</v>
      </c>
      <c r="P8" s="38" t="str">
        <f ca="1">IF(O8="","",INDEX(Methodology!$B$26:$B$29,MATCH(O8,Methodology!$A$26:$A$29,1)))</f>
        <v>Medium</v>
      </c>
      <c r="Q8" s="36">
        <v>4</v>
      </c>
      <c r="R8" s="37">
        <f t="shared" ca="1" si="4"/>
        <v>5</v>
      </c>
      <c r="S8" s="37">
        <f ca="1">IF(D8="","",IFERROR(IF(OR(INDEX(Appetite!$I$6:$I$17,MATCH(D8,Appetite!$A$6:$A$17,0))="OK",INDEX(Appetite!$I$6:$I$17,MATCH(D8,Appetite!$A$6:$A$17,0))="Review overdue - approved"),INDEX(Appetite!$C$6:$C$17,MATCH(D8,Appetite!$A$6:$A$17,0)),""),""))</f>
        <v>6</v>
      </c>
      <c r="T8" s="37">
        <f ca="1">IF(D8="","",IFERROR(IF(OR(INDEX(Appetite!$I$6:$I$17,MATCH(D8,Appetite!$A$6:$A$17,0))="OK",INDEX(Appetite!$I$6:$I$17,MATCH(D8,Appetite!$A$6:$A$17,0))="Review overdue - approved"),INDEX(Appetite!$D$6:$D$17,MATCH(D8,Appetite!$A$6:$A$17,0)),""),""))</f>
        <v>10</v>
      </c>
      <c r="U8" s="38" t="str">
        <f ca="1">IF(A8="","",IF(H8="Invalid inherent ratings","Invalid inherent ratings",IF(O8="","Assessment missing",IF(COUNTIF(Appetite!$A$6:$A$17,D8)=0,"Configuration missing",IF(OR(S8="",T8=""),"Configuration: "&amp;INDEX(Appetite!$I$6:$I$17,MATCH(D8,Appetite!$A$6:$A$17,0)),IF(O8&gt;T8,"Tolerance breach",IF(O8&gt;S8,"Appetite breach","Within appetite")))))))</f>
        <v>Appetite breach</v>
      </c>
      <c r="V8" s="38" t="str">
        <f>IF(A8="","",IF(COUNTIFS('Risk Acceptance Register'!$B$6:$B$105,A8,'Risk Acceptance Register'!$I$6:$I$105,"Approved")&gt;0,"Yes","No"))</f>
        <v>Yes</v>
      </c>
      <c r="W8" s="38" t="str">
        <f ca="1">IF(V8&lt;&gt;"Yes","",IFERROR(IF(COUNTIFS('Risk Acceptance Register'!$B$6:$B$105,A8,'Risk Acceptance Register'!$T$6:$T$105,"Eligible")&gt;0,LOOKUP(2,1/(('Risk Acceptance Register'!$B$6:$B$105=A8)*('Risk Acceptance Register'!$T$6:$T$105="Eligible")),'Risk Acceptance Register'!$J$6:$J$105),LOOKUP(2,1/(('Risk Acceptance Register'!$B$6:$B$105=A8)*('Risk Acceptance Register'!$I$6:$I$105="Approved")),'Risk Acceptance Register'!$J$6:$J$105))&amp;"",""))</f>
        <v>Risk Committee</v>
      </c>
      <c r="X8" s="39">
        <f ca="1">IF(V8&lt;&gt;"Yes","",IFERROR(IF(IF(COUNTIFS('Risk Acceptance Register'!$B$6:$B$105,A8,'Risk Acceptance Register'!$T$6:$T$105,"Eligible")&gt;0,LOOKUP(2,1/(('Risk Acceptance Register'!$B$6:$B$105=A8)*('Risk Acceptance Register'!$T$6:$T$105="Eligible")),'Risk Acceptance Register'!$M$6:$M$105),LOOKUP(2,1/(('Risk Acceptance Register'!$B$6:$B$105=A8)*('Risk Acceptance Register'!$I$6:$I$105="Approved")),'Risk Acceptance Register'!$M$6:$M$105))=0,"",IF(COUNTIFS('Risk Acceptance Register'!$B$6:$B$105,A8,'Risk Acceptance Register'!$T$6:$T$105,"Eligible")&gt;0,LOOKUP(2,1/(('Risk Acceptance Register'!$B$6:$B$105=A8)*('Risk Acceptance Register'!$T$6:$T$105="Eligible")),'Risk Acceptance Register'!$M$6:$M$105),LOOKUP(2,1/(('Risk Acceptance Register'!$B$6:$B$105=A8)*('Risk Acceptance Register'!$I$6:$I$105="Approved")),'Risk Acceptance Register'!$M$6:$M$105))),""))</f>
        <v>46477</v>
      </c>
      <c r="Y8" s="38" t="str">
        <f ca="1">IF(A8="","",IF(U8="Within appetite","Within appetite",IF(AND(U8&lt;&gt;"Appetite breach",U8&lt;&gt;"Tolerance breach"),U8,IF(COUNTIFS('Risk Acceptance Register'!$B$6:$B$105,A8,'Risk Acceptance Register'!$T$6:$T$105,"Eligible")&gt;0,"Breach - formally accepted",IF(V8="Yes",IF(X8="","Accepted - expiry not set",IF(X8&lt;Methodology!$B$4,"Acceptance expired - breach open","Breach - not accepted")),"Breach - not accepted")))))</f>
        <v>Breach - formally accepted</v>
      </c>
      <c r="Z8" s="40">
        <v>46371</v>
      </c>
      <c r="AA8" s="38" t="str">
        <f ca="1">IF(OR(A8="",Z8=""),"",IF(Z8&lt;Methodology!$B$4,"Overdue","On schedule"))</f>
        <v>On schedule</v>
      </c>
      <c r="AB8" s="38">
        <f ca="1">IF(OR(U8="",U8="Within appetite"),"",MAX(AB$5:AB7)+1)</f>
        <v>3</v>
      </c>
      <c r="AC8" s="38">
        <f>IF(A8="","",COUNTIF('Treatment Tracker'!$B$6:$B$105,A8)-COUNTIFS('Treatment Tracker'!$B$6:$B$105,A8,'Treatment Tracker'!$H$6:$H$105,"Completed")-COUNTIFS('Treatment Tracker'!$B$6:$B$105,A8,'Treatment Tracker'!$H$6:$H$105,"Cancelled"))</f>
        <v>0</v>
      </c>
      <c r="AD8" s="38" t="str">
        <f t="shared" ca="1" si="5"/>
        <v/>
      </c>
      <c r="AE8" s="35" t="s">
        <v>274</v>
      </c>
      <c r="AF8" s="35" t="s">
        <v>273</v>
      </c>
      <c r="AG8" s="40">
        <v>46290</v>
      </c>
      <c r="AH8" s="35" t="s">
        <v>193</v>
      </c>
      <c r="AI8" s="38" t="str">
        <f ca="1">IF(A8="","",IF(OR(K8="",L8=""),"No assessment",IF(OR(NOT(ISNUMBER(K8)),NOT(ISNUMBER(L8))),"Invalid residual ratings",IF(OR(K8&lt;1,K8&gt;5,L8&lt;1,L8&gt;5,INT(K8)&lt;&gt;K8,INT(L8)&lt;&gt;L8),"Invalid residual ratings",IF(OR(AE8="",AF8="",AG8="",AH8=""),"Incomplete evidence",IF(NOT(ISNUMBER(AG8)),"Invalid assessment date",IF(OR(AG8&gt;Methodology!$B$4,AG8&lt;=0),"Invalid assessment date",IF(AG8+Methodology!$B$3&lt;Methodology!$B$4,"Expired",IF(AL8&lt;&gt;"Approved","Approval not confirmed","Valid")))))))))</f>
        <v>Valid</v>
      </c>
      <c r="AJ8" s="38">
        <f>IF(OR(F8="",G8=""),"",MAX(1,ROUND(F8*(1-IFERROR(INDEX(Methodology!$B$41:$B$44,MATCH(J8,Methodology!$A$41:$A$44,0)),0)),0))*G8)</f>
        <v>9</v>
      </c>
      <c r="AK8" s="38" t="str">
        <f t="shared" ca="1" si="6"/>
        <v>Assessed (evidence-supported)</v>
      </c>
      <c r="AL8" s="36" t="s">
        <v>369</v>
      </c>
    </row>
    <row r="9" spans="1:38" ht="25" x14ac:dyDescent="0.35">
      <c r="A9" s="35" t="s">
        <v>275</v>
      </c>
      <c r="B9" s="24" t="s">
        <v>276</v>
      </c>
      <c r="C9" s="24" t="s">
        <v>277</v>
      </c>
      <c r="D9" s="35" t="s">
        <v>200</v>
      </c>
      <c r="E9" s="35" t="s">
        <v>278</v>
      </c>
      <c r="F9" s="36">
        <v>3</v>
      </c>
      <c r="G9" s="36">
        <v>4</v>
      </c>
      <c r="H9" s="37">
        <f t="shared" si="0"/>
        <v>12</v>
      </c>
      <c r="I9" s="38" t="str">
        <f>IF(NOT(ISNUMBER(H9)),"",INDEX(Methodology!$B$26:$B$29,MATCH(H9,Methodology!$A$26:$A$29,1)))</f>
        <v>High</v>
      </c>
      <c r="J9" s="35" t="s">
        <v>139</v>
      </c>
      <c r="K9" s="36">
        <v>2</v>
      </c>
      <c r="L9" s="36">
        <v>4</v>
      </c>
      <c r="M9" s="37">
        <f t="shared" ca="1" si="1"/>
        <v>2</v>
      </c>
      <c r="N9" s="37">
        <f t="shared" ca="1" si="2"/>
        <v>4</v>
      </c>
      <c r="O9" s="37">
        <f t="shared" ca="1" si="3"/>
        <v>8</v>
      </c>
      <c r="P9" s="38" t="str">
        <f ca="1">IF(O9="","",INDEX(Methodology!$B$26:$B$29,MATCH(O9,Methodology!$A$26:$A$29,1)))</f>
        <v>Medium</v>
      </c>
      <c r="Q9" s="36">
        <v>4</v>
      </c>
      <c r="R9" s="37">
        <f t="shared" ca="1" si="4"/>
        <v>4</v>
      </c>
      <c r="S9" s="37">
        <f ca="1">IF(D9="","",IFERROR(IF(OR(INDEX(Appetite!$I$6:$I$17,MATCH(D9,Appetite!$A$6:$A$17,0))="OK",INDEX(Appetite!$I$6:$I$17,MATCH(D9,Appetite!$A$6:$A$17,0))="Review overdue - approved"),INDEX(Appetite!$C$6:$C$17,MATCH(D9,Appetite!$A$6:$A$17,0)),""),""))</f>
        <v>4</v>
      </c>
      <c r="T9" s="37">
        <f ca="1">IF(D9="","",IFERROR(IF(OR(INDEX(Appetite!$I$6:$I$17,MATCH(D9,Appetite!$A$6:$A$17,0))="OK",INDEX(Appetite!$I$6:$I$17,MATCH(D9,Appetite!$A$6:$A$17,0))="Review overdue - approved"),INDEX(Appetite!$D$6:$D$17,MATCH(D9,Appetite!$A$6:$A$17,0)),""),""))</f>
        <v>8</v>
      </c>
      <c r="U9" s="38" t="str">
        <f ca="1">IF(A9="","",IF(H9="Invalid inherent ratings","Invalid inherent ratings",IF(O9="","Assessment missing",IF(COUNTIF(Appetite!$A$6:$A$17,D9)=0,"Configuration missing",IF(OR(S9="",T9=""),"Configuration: "&amp;INDEX(Appetite!$I$6:$I$17,MATCH(D9,Appetite!$A$6:$A$17,0)),IF(O9&gt;T9,"Tolerance breach",IF(O9&gt;S9,"Appetite breach","Within appetite")))))))</f>
        <v>Appetite breach</v>
      </c>
      <c r="V9" s="38" t="str">
        <f>IF(A9="","",IF(COUNTIFS('Risk Acceptance Register'!$B$6:$B$105,A9,'Risk Acceptance Register'!$I$6:$I$105,"Approved")&gt;0,"Yes","No"))</f>
        <v>No</v>
      </c>
      <c r="W9" s="38" t="str">
        <f>IF(V9&lt;&gt;"Yes","",IFERROR(IF(COUNTIFS('Risk Acceptance Register'!$B$6:$B$105,A9,'Risk Acceptance Register'!$T$6:$T$105,"Eligible")&gt;0,LOOKUP(2,1/(('Risk Acceptance Register'!$B$6:$B$105=A9)*('Risk Acceptance Register'!$T$6:$T$105="Eligible")),'Risk Acceptance Register'!$J$6:$J$105),LOOKUP(2,1/(('Risk Acceptance Register'!$B$6:$B$105=A9)*('Risk Acceptance Register'!$I$6:$I$105="Approved")),'Risk Acceptance Register'!$J$6:$J$105))&amp;"",""))</f>
        <v/>
      </c>
      <c r="X9" s="39" t="str">
        <f>IF(V9&lt;&gt;"Yes","",IFERROR(IF(IF(COUNTIFS('Risk Acceptance Register'!$B$6:$B$105,A9,'Risk Acceptance Register'!$T$6:$T$105,"Eligible")&gt;0,LOOKUP(2,1/(('Risk Acceptance Register'!$B$6:$B$105=A9)*('Risk Acceptance Register'!$T$6:$T$105="Eligible")),'Risk Acceptance Register'!$M$6:$M$105),LOOKUP(2,1/(('Risk Acceptance Register'!$B$6:$B$105=A9)*('Risk Acceptance Register'!$I$6:$I$105="Approved")),'Risk Acceptance Register'!$M$6:$M$105))=0,"",IF(COUNTIFS('Risk Acceptance Register'!$B$6:$B$105,A9,'Risk Acceptance Register'!$T$6:$T$105,"Eligible")&gt;0,LOOKUP(2,1/(('Risk Acceptance Register'!$B$6:$B$105=A9)*('Risk Acceptance Register'!$T$6:$T$105="Eligible")),'Risk Acceptance Register'!$M$6:$M$105),LOOKUP(2,1/(('Risk Acceptance Register'!$B$6:$B$105=A9)*('Risk Acceptance Register'!$I$6:$I$105="Approved")),'Risk Acceptance Register'!$M$6:$M$105))),""))</f>
        <v/>
      </c>
      <c r="Y9" s="38" t="str">
        <f ca="1">IF(A9="","",IF(U9="Within appetite","Within appetite",IF(AND(U9&lt;&gt;"Appetite breach",U9&lt;&gt;"Tolerance breach"),U9,IF(COUNTIFS('Risk Acceptance Register'!$B$6:$B$105,A9,'Risk Acceptance Register'!$T$6:$T$105,"Eligible")&gt;0,"Breach - formally accepted",IF(V9="Yes",IF(X9="","Accepted - expiry not set",IF(X9&lt;Methodology!$B$4,"Acceptance expired - breach open","Breach - not accepted")),"Breach - not accepted")))))</f>
        <v>Breach - not accepted</v>
      </c>
      <c r="Z9" s="40">
        <v>46346</v>
      </c>
      <c r="AA9" s="38" t="str">
        <f ca="1">IF(OR(A9="",Z9=""),"",IF(Z9&lt;Methodology!$B$4,"Overdue","On schedule"))</f>
        <v>On schedule</v>
      </c>
      <c r="AB9" s="38">
        <f ca="1">IF(OR(U9="",U9="Within appetite"),"",MAX(AB$5:AB8)+1)</f>
        <v>4</v>
      </c>
      <c r="AC9" s="38">
        <f>IF(A9="","",COUNTIF('Treatment Tracker'!$B$6:$B$105,A9)-COUNTIFS('Treatment Tracker'!$B$6:$B$105,A9,'Treatment Tracker'!$H$6:$H$105,"Completed")-COUNTIFS('Treatment Tracker'!$B$6:$B$105,A9,'Treatment Tracker'!$H$6:$H$105,"Cancelled"))</f>
        <v>1</v>
      </c>
      <c r="AD9" s="38" t="str">
        <f t="shared" ca="1" si="5"/>
        <v/>
      </c>
      <c r="AE9" s="35" t="s">
        <v>279</v>
      </c>
      <c r="AF9" s="35" t="s">
        <v>280</v>
      </c>
      <c r="AG9" s="40">
        <v>46244</v>
      </c>
      <c r="AH9" s="35" t="s">
        <v>278</v>
      </c>
      <c r="AI9" s="38" t="str">
        <f ca="1">IF(A9="","",IF(OR(K9="",L9=""),"No assessment",IF(OR(NOT(ISNUMBER(K9)),NOT(ISNUMBER(L9))),"Invalid residual ratings",IF(OR(K9&lt;1,K9&gt;5,L9&lt;1,L9&gt;5,INT(K9)&lt;&gt;K9,INT(L9)&lt;&gt;L9),"Invalid residual ratings",IF(OR(AE9="",AF9="",AG9="",AH9=""),"Incomplete evidence",IF(NOT(ISNUMBER(AG9)),"Invalid assessment date",IF(OR(AG9&gt;Methodology!$B$4,AG9&lt;=0),"Invalid assessment date",IF(AG9+Methodology!$B$3&lt;Methodology!$B$4,"Expired",IF(AL9&lt;&gt;"Approved","Approval not confirmed","Valid")))))))))</f>
        <v>Valid</v>
      </c>
      <c r="AJ9" s="38">
        <f>IF(OR(F9="",G9=""),"",MAX(1,ROUND(F9*(1-IFERROR(INDEX(Methodology!$B$41:$B$44,MATCH(J9,Methodology!$A$41:$A$44,0)),0)),0))*G9)</f>
        <v>8</v>
      </c>
      <c r="AK9" s="38" t="str">
        <f t="shared" ca="1" si="6"/>
        <v>Assessed (evidence-supported)</v>
      </c>
      <c r="AL9" s="36" t="s">
        <v>369</v>
      </c>
    </row>
    <row r="10" spans="1:38" ht="25" x14ac:dyDescent="0.35">
      <c r="A10" s="35" t="s">
        <v>281</v>
      </c>
      <c r="B10" s="24" t="s">
        <v>282</v>
      </c>
      <c r="C10" s="24" t="s">
        <v>283</v>
      </c>
      <c r="D10" s="35" t="s">
        <v>210</v>
      </c>
      <c r="E10" s="35" t="s">
        <v>284</v>
      </c>
      <c r="F10" s="36">
        <v>4</v>
      </c>
      <c r="G10" s="36">
        <v>3</v>
      </c>
      <c r="H10" s="37">
        <f t="shared" si="0"/>
        <v>12</v>
      </c>
      <c r="I10" s="38" t="str">
        <f>IF(NOT(ISNUMBER(H10)),"",INDEX(Methodology!$B$26:$B$29,MATCH(H10,Methodology!$A$26:$A$29,1)))</f>
        <v>High</v>
      </c>
      <c r="J10" s="35" t="s">
        <v>141</v>
      </c>
      <c r="K10" s="36">
        <v>3</v>
      </c>
      <c r="L10" s="36">
        <v>3</v>
      </c>
      <c r="M10" s="37">
        <f t="shared" ca="1" si="1"/>
        <v>3</v>
      </c>
      <c r="N10" s="37">
        <f t="shared" ca="1" si="2"/>
        <v>3</v>
      </c>
      <c r="O10" s="37">
        <f t="shared" ca="1" si="3"/>
        <v>9</v>
      </c>
      <c r="P10" s="38" t="str">
        <f ca="1">IF(O10="","",INDEX(Methodology!$B$26:$B$29,MATCH(O10,Methodology!$A$26:$A$29,1)))</f>
        <v>Medium</v>
      </c>
      <c r="Q10" s="36">
        <v>6</v>
      </c>
      <c r="R10" s="37">
        <f t="shared" ca="1" si="4"/>
        <v>3</v>
      </c>
      <c r="S10" s="37">
        <f ca="1">IF(D10="","",IFERROR(IF(OR(INDEX(Appetite!$I$6:$I$17,MATCH(D10,Appetite!$A$6:$A$17,0))="OK",INDEX(Appetite!$I$6:$I$17,MATCH(D10,Appetite!$A$6:$A$17,0))="Review overdue - approved"),INDEX(Appetite!$C$6:$C$17,MATCH(D10,Appetite!$A$6:$A$17,0)),""),""))</f>
        <v>9</v>
      </c>
      <c r="T10" s="37">
        <f ca="1">IF(D10="","",IFERROR(IF(OR(INDEX(Appetite!$I$6:$I$17,MATCH(D10,Appetite!$A$6:$A$17,0))="OK",INDEX(Appetite!$I$6:$I$17,MATCH(D10,Appetite!$A$6:$A$17,0))="Review overdue - approved"),INDEX(Appetite!$D$6:$D$17,MATCH(D10,Appetite!$A$6:$A$17,0)),""),""))</f>
        <v>15</v>
      </c>
      <c r="U10" s="38" t="str">
        <f ca="1">IF(A10="","",IF(H10="Invalid inherent ratings","Invalid inherent ratings",IF(O10="","Assessment missing",IF(COUNTIF(Appetite!$A$6:$A$17,D10)=0,"Configuration missing",IF(OR(S10="",T10=""),"Configuration: "&amp;INDEX(Appetite!$I$6:$I$17,MATCH(D10,Appetite!$A$6:$A$17,0)),IF(O10&gt;T10,"Tolerance breach",IF(O10&gt;S10,"Appetite breach","Within appetite")))))))</f>
        <v>Within appetite</v>
      </c>
      <c r="V10" s="38" t="str">
        <f>IF(A10="","",IF(COUNTIFS('Risk Acceptance Register'!$B$6:$B$105,A10,'Risk Acceptance Register'!$I$6:$I$105,"Approved")&gt;0,"Yes","No"))</f>
        <v>No</v>
      </c>
      <c r="W10" s="38" t="str">
        <f>IF(V10&lt;&gt;"Yes","",IFERROR(IF(COUNTIFS('Risk Acceptance Register'!$B$6:$B$105,A10,'Risk Acceptance Register'!$T$6:$T$105,"Eligible")&gt;0,LOOKUP(2,1/(('Risk Acceptance Register'!$B$6:$B$105=A10)*('Risk Acceptance Register'!$T$6:$T$105="Eligible")),'Risk Acceptance Register'!$J$6:$J$105),LOOKUP(2,1/(('Risk Acceptance Register'!$B$6:$B$105=A10)*('Risk Acceptance Register'!$I$6:$I$105="Approved")),'Risk Acceptance Register'!$J$6:$J$105))&amp;"",""))</f>
        <v/>
      </c>
      <c r="X10" s="39" t="str">
        <f>IF(V10&lt;&gt;"Yes","",IFERROR(IF(IF(COUNTIFS('Risk Acceptance Register'!$B$6:$B$105,A10,'Risk Acceptance Register'!$T$6:$T$105,"Eligible")&gt;0,LOOKUP(2,1/(('Risk Acceptance Register'!$B$6:$B$105=A10)*('Risk Acceptance Register'!$T$6:$T$105="Eligible")),'Risk Acceptance Register'!$M$6:$M$105),LOOKUP(2,1/(('Risk Acceptance Register'!$B$6:$B$105=A10)*('Risk Acceptance Register'!$I$6:$I$105="Approved")),'Risk Acceptance Register'!$M$6:$M$105))=0,"",IF(COUNTIFS('Risk Acceptance Register'!$B$6:$B$105,A10,'Risk Acceptance Register'!$T$6:$T$105,"Eligible")&gt;0,LOOKUP(2,1/(('Risk Acceptance Register'!$B$6:$B$105=A10)*('Risk Acceptance Register'!$T$6:$T$105="Eligible")),'Risk Acceptance Register'!$M$6:$M$105),LOOKUP(2,1/(('Risk Acceptance Register'!$B$6:$B$105=A10)*('Risk Acceptance Register'!$I$6:$I$105="Approved")),'Risk Acceptance Register'!$M$6:$M$105))),""))</f>
        <v/>
      </c>
      <c r="Y10" s="38" t="str">
        <f ca="1">IF(A10="","",IF(U10="Within appetite","Within appetite",IF(AND(U10&lt;&gt;"Appetite breach",U10&lt;&gt;"Tolerance breach"),U10,IF(COUNTIFS('Risk Acceptance Register'!$B$6:$B$105,A10,'Risk Acceptance Register'!$T$6:$T$105,"Eligible")&gt;0,"Breach - formally accepted",IF(V10="Yes",IF(X10="","Accepted - expiry not set",IF(X10&lt;Methodology!$B$4,"Acceptance expired - breach open","Breach - not accepted")),"Breach - not accepted")))))</f>
        <v>Within appetite</v>
      </c>
      <c r="Z10" s="40">
        <v>46418</v>
      </c>
      <c r="AA10" s="38" t="str">
        <f ca="1">IF(OR(A10="",Z10=""),"",IF(Z10&lt;Methodology!$B$4,"Overdue","On schedule"))</f>
        <v>On schedule</v>
      </c>
      <c r="AB10" s="38" t="str">
        <f ca="1">IF(OR(U10="",U10="Within appetite"),"",MAX(AB$5:AB9)+1)</f>
        <v/>
      </c>
      <c r="AC10" s="38">
        <f>IF(A10="","",COUNTIF('Treatment Tracker'!$B$6:$B$105,A10)-COUNTIFS('Treatment Tracker'!$B$6:$B$105,A10,'Treatment Tracker'!$H$6:$H$105,"Completed")-COUNTIFS('Treatment Tracker'!$B$6:$B$105,A10,'Treatment Tracker'!$H$6:$H$105,"Cancelled"))</f>
        <v>0</v>
      </c>
      <c r="AD10" s="38" t="str">
        <f t="shared" ca="1" si="5"/>
        <v/>
      </c>
      <c r="AE10" s="35" t="s">
        <v>285</v>
      </c>
      <c r="AF10" s="35" t="s">
        <v>286</v>
      </c>
      <c r="AG10" s="40">
        <v>46266</v>
      </c>
      <c r="AH10" s="35" t="s">
        <v>284</v>
      </c>
      <c r="AI10" s="38" t="str">
        <f ca="1">IF(A10="","",IF(OR(K10="",L10=""),"No assessment",IF(OR(NOT(ISNUMBER(K10)),NOT(ISNUMBER(L10))),"Invalid residual ratings",IF(OR(K10&lt;1,K10&gt;5,L10&lt;1,L10&gt;5,INT(K10)&lt;&gt;K10,INT(L10)&lt;&gt;L10),"Invalid residual ratings",IF(OR(AE10="",AF10="",AG10="",AH10=""),"Incomplete evidence",IF(NOT(ISNUMBER(AG10)),"Invalid assessment date",IF(OR(AG10&gt;Methodology!$B$4,AG10&lt;=0),"Invalid assessment date",IF(AG10+Methodology!$B$3&lt;Methodology!$B$4,"Expired",IF(AL10&lt;&gt;"Approved","Approval not confirmed","Valid")))))))))</f>
        <v>Valid</v>
      </c>
      <c r="AJ10" s="38">
        <f>IF(OR(F10="",G10=""),"",MAX(1,ROUND(F10*(1-IFERROR(INDEX(Methodology!$B$41:$B$44,MATCH(J10,Methodology!$A$41:$A$44,0)),0)),0))*G10)</f>
        <v>9</v>
      </c>
      <c r="AK10" s="38" t="str">
        <f t="shared" ca="1" si="6"/>
        <v>Assessed (evidence-supported)</v>
      </c>
      <c r="AL10" s="36" t="s">
        <v>369</v>
      </c>
    </row>
    <row r="11" spans="1:38" ht="25" x14ac:dyDescent="0.35">
      <c r="A11" s="35" t="s">
        <v>287</v>
      </c>
      <c r="B11" s="24" t="s">
        <v>288</v>
      </c>
      <c r="C11" s="24" t="s">
        <v>289</v>
      </c>
      <c r="D11" s="35" t="s">
        <v>206</v>
      </c>
      <c r="E11" s="35" t="s">
        <v>290</v>
      </c>
      <c r="F11" s="36">
        <v>5</v>
      </c>
      <c r="G11" s="36">
        <v>3</v>
      </c>
      <c r="H11" s="37">
        <f t="shared" si="0"/>
        <v>15</v>
      </c>
      <c r="I11" s="38" t="str">
        <f>IF(NOT(ISNUMBER(H11)),"",INDEX(Methodology!$B$26:$B$29,MATCH(H11,Methodology!$A$26:$A$29,1)))</f>
        <v>High</v>
      </c>
      <c r="J11" s="35" t="s">
        <v>145</v>
      </c>
      <c r="K11" s="36">
        <v>5</v>
      </c>
      <c r="L11" s="36">
        <v>3</v>
      </c>
      <c r="M11" s="37">
        <f t="shared" ca="1" si="1"/>
        <v>5</v>
      </c>
      <c r="N11" s="37">
        <f t="shared" ca="1" si="2"/>
        <v>3</v>
      </c>
      <c r="O11" s="37">
        <f t="shared" ca="1" si="3"/>
        <v>15</v>
      </c>
      <c r="P11" s="38" t="str">
        <f ca="1">IF(O11="","",INDEX(Methodology!$B$26:$B$29,MATCH(O11,Methodology!$A$26:$A$29,1)))</f>
        <v>High</v>
      </c>
      <c r="Q11" s="36">
        <v>6</v>
      </c>
      <c r="R11" s="37">
        <f t="shared" ca="1" si="4"/>
        <v>9</v>
      </c>
      <c r="S11" s="37">
        <f ca="1">IF(D11="","",IFERROR(IF(OR(INDEX(Appetite!$I$6:$I$17,MATCH(D11,Appetite!$A$6:$A$17,0))="OK",INDEX(Appetite!$I$6:$I$17,MATCH(D11,Appetite!$A$6:$A$17,0))="Review overdue - approved"),INDEX(Appetite!$C$6:$C$17,MATCH(D11,Appetite!$A$6:$A$17,0)),""),""))</f>
        <v>9</v>
      </c>
      <c r="T11" s="37">
        <f ca="1">IF(D11="","",IFERROR(IF(OR(INDEX(Appetite!$I$6:$I$17,MATCH(D11,Appetite!$A$6:$A$17,0))="OK",INDEX(Appetite!$I$6:$I$17,MATCH(D11,Appetite!$A$6:$A$17,0))="Review overdue - approved"),INDEX(Appetite!$D$6:$D$17,MATCH(D11,Appetite!$A$6:$A$17,0)),""),""))</f>
        <v>15</v>
      </c>
      <c r="U11" s="38" t="str">
        <f ca="1">IF(A11="","",IF(H11="Invalid inherent ratings","Invalid inherent ratings",IF(O11="","Assessment missing",IF(COUNTIF(Appetite!$A$6:$A$17,D11)=0,"Configuration missing",IF(OR(S11="",T11=""),"Configuration: "&amp;INDEX(Appetite!$I$6:$I$17,MATCH(D11,Appetite!$A$6:$A$17,0)),IF(O11&gt;T11,"Tolerance breach",IF(O11&gt;S11,"Appetite breach","Within appetite")))))))</f>
        <v>Appetite breach</v>
      </c>
      <c r="V11" s="38" t="str">
        <f>IF(A11="","",IF(COUNTIFS('Risk Acceptance Register'!$B$6:$B$105,A11,'Risk Acceptance Register'!$I$6:$I$105,"Approved")&gt;0,"Yes","No"))</f>
        <v>Yes</v>
      </c>
      <c r="W11" s="38" t="str">
        <f>IF(V11&lt;&gt;"Yes","",IFERROR(IF(COUNTIFS('Risk Acceptance Register'!$B$6:$B$105,A11,'Risk Acceptance Register'!$T$6:$T$105,"Eligible")&gt;0,LOOKUP(2,1/(('Risk Acceptance Register'!$B$6:$B$105=A11)*('Risk Acceptance Register'!$T$6:$T$105="Eligible")),'Risk Acceptance Register'!$J$6:$J$105),LOOKUP(2,1/(('Risk Acceptance Register'!$B$6:$B$105=A11)*('Risk Acceptance Register'!$I$6:$I$105="Approved")),'Risk Acceptance Register'!$J$6:$J$105))&amp;"",""))</f>
        <v>CIO</v>
      </c>
      <c r="X11" s="39" t="str">
        <f>IF(V11&lt;&gt;"Yes","",IFERROR(IF(IF(COUNTIFS('Risk Acceptance Register'!$B$6:$B$105,A11,'Risk Acceptance Register'!$T$6:$T$105,"Eligible")&gt;0,LOOKUP(2,1/(('Risk Acceptance Register'!$B$6:$B$105=A11)*('Risk Acceptance Register'!$T$6:$T$105="Eligible")),'Risk Acceptance Register'!$M$6:$M$105),LOOKUP(2,1/(('Risk Acceptance Register'!$B$6:$B$105=A11)*('Risk Acceptance Register'!$I$6:$I$105="Approved")),'Risk Acceptance Register'!$M$6:$M$105))=0,"",IF(COUNTIFS('Risk Acceptance Register'!$B$6:$B$105,A11,'Risk Acceptance Register'!$T$6:$T$105,"Eligible")&gt;0,LOOKUP(2,1/(('Risk Acceptance Register'!$B$6:$B$105=A11)*('Risk Acceptance Register'!$T$6:$T$105="Eligible")),'Risk Acceptance Register'!$M$6:$M$105),LOOKUP(2,1/(('Risk Acceptance Register'!$B$6:$B$105=A11)*('Risk Acceptance Register'!$I$6:$I$105="Approved")),'Risk Acceptance Register'!$M$6:$M$105))),""))</f>
        <v/>
      </c>
      <c r="Y11" s="38" t="str">
        <f ca="1">IF(A11="","",IF(U11="Within appetite","Within appetite",IF(AND(U11&lt;&gt;"Appetite breach",U11&lt;&gt;"Tolerance breach"),U11,IF(COUNTIFS('Risk Acceptance Register'!$B$6:$B$105,A11,'Risk Acceptance Register'!$T$6:$T$105,"Eligible")&gt;0,"Breach - formally accepted",IF(V11="Yes",IF(X11="","Accepted - expiry not set",IF(X11&lt;Methodology!$B$4,"Acceptance expired - breach open","Breach - not accepted")),"Breach - not accepted")))))</f>
        <v>Accepted - expiry not set</v>
      </c>
      <c r="Z11" s="40">
        <v>46357</v>
      </c>
      <c r="AA11" s="38" t="str">
        <f ca="1">IF(OR(A11="",Z11=""),"",IF(Z11&lt;Methodology!$B$4,"Overdue","On schedule"))</f>
        <v>On schedule</v>
      </c>
      <c r="AB11" s="38">
        <f ca="1">IF(OR(U11="",U11="Within appetite"),"",MAX(AB$5:AB10)+1)</f>
        <v>5</v>
      </c>
      <c r="AC11" s="38">
        <f>IF(A11="","",COUNTIF('Treatment Tracker'!$B$6:$B$105,A11)-COUNTIFS('Treatment Tracker'!$B$6:$B$105,A11,'Treatment Tracker'!$H$6:$H$105,"Completed")-COUNTIFS('Treatment Tracker'!$B$6:$B$105,A11,'Treatment Tracker'!$H$6:$H$105,"Cancelled"))</f>
        <v>1</v>
      </c>
      <c r="AD11" s="38" t="str">
        <f t="shared" ca="1" si="5"/>
        <v/>
      </c>
      <c r="AE11" s="35" t="s">
        <v>291</v>
      </c>
      <c r="AF11" s="35" t="s">
        <v>292</v>
      </c>
      <c r="AG11" s="40">
        <v>46174</v>
      </c>
      <c r="AH11" s="35" t="s">
        <v>290</v>
      </c>
      <c r="AI11" s="38" t="str">
        <f ca="1">IF(A11="","",IF(OR(K11="",L11=""),"No assessment",IF(OR(NOT(ISNUMBER(K11)),NOT(ISNUMBER(L11))),"Invalid residual ratings",IF(OR(K11&lt;1,K11&gt;5,L11&lt;1,L11&gt;5,INT(K11)&lt;&gt;K11,INT(L11)&lt;&gt;L11),"Invalid residual ratings",IF(OR(AE11="",AF11="",AG11="",AH11=""),"Incomplete evidence",IF(NOT(ISNUMBER(AG11)),"Invalid assessment date",IF(OR(AG11&gt;Methodology!$B$4,AG11&lt;=0),"Invalid assessment date",IF(AG11+Methodology!$B$3&lt;Methodology!$B$4,"Expired",IF(AL11&lt;&gt;"Approved","Approval not confirmed","Valid")))))))))</f>
        <v>Valid</v>
      </c>
      <c r="AJ11" s="38">
        <f>IF(OR(F11="",G11=""),"",MAX(1,ROUND(F11*(1-IFERROR(INDEX(Methodology!$B$41:$B$44,MATCH(J11,Methodology!$A$41:$A$44,0)),0)),0))*G11)</f>
        <v>15</v>
      </c>
      <c r="AK11" s="38" t="str">
        <f t="shared" ca="1" si="6"/>
        <v>Assessed (evidence-supported)</v>
      </c>
      <c r="AL11" s="36" t="s">
        <v>369</v>
      </c>
    </row>
    <row r="12" spans="1:38" ht="25" x14ac:dyDescent="0.35">
      <c r="A12" s="35" t="s">
        <v>293</v>
      </c>
      <c r="B12" s="24" t="s">
        <v>294</v>
      </c>
      <c r="C12" s="24" t="s">
        <v>295</v>
      </c>
      <c r="D12" s="35" t="s">
        <v>94</v>
      </c>
      <c r="E12" s="35" t="s">
        <v>296</v>
      </c>
      <c r="F12" s="36">
        <v>3</v>
      </c>
      <c r="G12" s="36">
        <v>3</v>
      </c>
      <c r="H12" s="37">
        <f t="shared" si="0"/>
        <v>9</v>
      </c>
      <c r="I12" s="38" t="str">
        <f>IF(NOT(ISNUMBER(H12)),"",INDEX(Methodology!$B$26:$B$29,MATCH(H12,Methodology!$A$26:$A$29,1)))</f>
        <v>Medium</v>
      </c>
      <c r="J12" s="35" t="s">
        <v>141</v>
      </c>
      <c r="K12" s="36">
        <v>2</v>
      </c>
      <c r="L12" s="36">
        <v>3</v>
      </c>
      <c r="M12" s="37">
        <f t="shared" ca="1" si="1"/>
        <v>3</v>
      </c>
      <c r="N12" s="37">
        <f t="shared" ca="1" si="2"/>
        <v>3</v>
      </c>
      <c r="O12" s="37">
        <f t="shared" ca="1" si="3"/>
        <v>9</v>
      </c>
      <c r="P12" s="38" t="str">
        <f ca="1">IF(O12="","",INDEX(Methodology!$B$26:$B$29,MATCH(O12,Methodology!$A$26:$A$29,1)))</f>
        <v>Medium</v>
      </c>
      <c r="Q12" s="36">
        <v>4</v>
      </c>
      <c r="R12" s="37">
        <f t="shared" ca="1" si="4"/>
        <v>5</v>
      </c>
      <c r="S12" s="37">
        <f ca="1">IF(D12="","",IFERROR(IF(OR(INDEX(Appetite!$I$6:$I$17,MATCH(D12,Appetite!$A$6:$A$17,0))="OK",INDEX(Appetite!$I$6:$I$17,MATCH(D12,Appetite!$A$6:$A$17,0))="Review overdue - approved"),INDEX(Appetite!$C$6:$C$17,MATCH(D12,Appetite!$A$6:$A$17,0)),""),""))</f>
        <v>9</v>
      </c>
      <c r="T12" s="37">
        <f ca="1">IF(D12="","",IFERROR(IF(OR(INDEX(Appetite!$I$6:$I$17,MATCH(D12,Appetite!$A$6:$A$17,0))="OK",INDEX(Appetite!$I$6:$I$17,MATCH(D12,Appetite!$A$6:$A$17,0))="Review overdue - approved"),INDEX(Appetite!$D$6:$D$17,MATCH(D12,Appetite!$A$6:$A$17,0)),""),""))</f>
        <v>15</v>
      </c>
      <c r="U12" s="38" t="str">
        <f ca="1">IF(A12="","",IF(H12="Invalid inherent ratings","Invalid inherent ratings",IF(O12="","Assessment missing",IF(COUNTIF(Appetite!$A$6:$A$17,D12)=0,"Configuration missing",IF(OR(S12="",T12=""),"Configuration: "&amp;INDEX(Appetite!$I$6:$I$17,MATCH(D12,Appetite!$A$6:$A$17,0)),IF(O12&gt;T12,"Tolerance breach",IF(O12&gt;S12,"Appetite breach","Within appetite")))))))</f>
        <v>Within appetite</v>
      </c>
      <c r="V12" s="38" t="str">
        <f>IF(A12="","",IF(COUNTIFS('Risk Acceptance Register'!$B$6:$B$105,A12,'Risk Acceptance Register'!$I$6:$I$105,"Approved")&gt;0,"Yes","No"))</f>
        <v>No</v>
      </c>
      <c r="W12" s="38" t="str">
        <f>IF(V12&lt;&gt;"Yes","",IFERROR(IF(COUNTIFS('Risk Acceptance Register'!$B$6:$B$105,A12,'Risk Acceptance Register'!$T$6:$T$105,"Eligible")&gt;0,LOOKUP(2,1/(('Risk Acceptance Register'!$B$6:$B$105=A12)*('Risk Acceptance Register'!$T$6:$T$105="Eligible")),'Risk Acceptance Register'!$J$6:$J$105),LOOKUP(2,1/(('Risk Acceptance Register'!$B$6:$B$105=A12)*('Risk Acceptance Register'!$I$6:$I$105="Approved")),'Risk Acceptance Register'!$J$6:$J$105))&amp;"",""))</f>
        <v/>
      </c>
      <c r="X12" s="39" t="str">
        <f>IF(V12&lt;&gt;"Yes","",IFERROR(IF(IF(COUNTIFS('Risk Acceptance Register'!$B$6:$B$105,A12,'Risk Acceptance Register'!$T$6:$T$105,"Eligible")&gt;0,LOOKUP(2,1/(('Risk Acceptance Register'!$B$6:$B$105=A12)*('Risk Acceptance Register'!$T$6:$T$105="Eligible")),'Risk Acceptance Register'!$M$6:$M$105),LOOKUP(2,1/(('Risk Acceptance Register'!$B$6:$B$105=A12)*('Risk Acceptance Register'!$I$6:$I$105="Approved")),'Risk Acceptance Register'!$M$6:$M$105))=0,"",IF(COUNTIFS('Risk Acceptance Register'!$B$6:$B$105,A12,'Risk Acceptance Register'!$T$6:$T$105,"Eligible")&gt;0,LOOKUP(2,1/(('Risk Acceptance Register'!$B$6:$B$105=A12)*('Risk Acceptance Register'!$T$6:$T$105="Eligible")),'Risk Acceptance Register'!$M$6:$M$105),LOOKUP(2,1/(('Risk Acceptance Register'!$B$6:$B$105=A12)*('Risk Acceptance Register'!$I$6:$I$105="Approved")),'Risk Acceptance Register'!$M$6:$M$105))),""))</f>
        <v/>
      </c>
      <c r="Y12" s="38" t="str">
        <f ca="1">IF(A12="","",IF(U12="Within appetite","Within appetite",IF(AND(U12&lt;&gt;"Appetite breach",U12&lt;&gt;"Tolerance breach"),U12,IF(COUNTIFS('Risk Acceptance Register'!$B$6:$B$105,A12,'Risk Acceptance Register'!$T$6:$T$105,"Eligible")&gt;0,"Breach - formally accepted",IF(V12="Yes",IF(X12="","Accepted - expiry not set",IF(X12&lt;Methodology!$B$4,"Acceptance expired - breach open","Breach - not accepted")),"Breach - not accepted")))))</f>
        <v>Within appetite</v>
      </c>
      <c r="Z12" s="40">
        <v>46446</v>
      </c>
      <c r="AA12" s="38" t="str">
        <f ca="1">IF(OR(A12="",Z12=""),"",IF(Z12&lt;Methodology!$B$4,"Overdue","On schedule"))</f>
        <v>On schedule</v>
      </c>
      <c r="AB12" s="38" t="str">
        <f ca="1">IF(OR(U12="",U12="Within appetite"),"",MAX(AB$5:AB11)+1)</f>
        <v/>
      </c>
      <c r="AC12" s="38">
        <f>IF(A12="","",COUNTIF('Treatment Tracker'!$B$6:$B$105,A12)-COUNTIFS('Treatment Tracker'!$B$6:$B$105,A12,'Treatment Tracker'!$H$6:$H$105,"Completed")-COUNTIFS('Treatment Tracker'!$B$6:$B$105,A12,'Treatment Tracker'!$H$6:$H$105,"Cancelled"))</f>
        <v>0</v>
      </c>
      <c r="AD12" s="38" t="str">
        <f t="shared" ca="1" si="5"/>
        <v/>
      </c>
      <c r="AE12" s="35" t="s">
        <v>297</v>
      </c>
      <c r="AF12" s="35" t="s">
        <v>298</v>
      </c>
      <c r="AG12" s="40">
        <v>45915</v>
      </c>
      <c r="AH12" s="35" t="s">
        <v>296</v>
      </c>
      <c r="AI12" s="38" t="str">
        <f ca="1">IF(A12="","",IF(OR(K12="",L12=""),"No assessment",IF(OR(NOT(ISNUMBER(K12)),NOT(ISNUMBER(L12))),"Invalid residual ratings",IF(OR(K12&lt;1,K12&gt;5,L12&lt;1,L12&gt;5,INT(K12)&lt;&gt;K12,INT(L12)&lt;&gt;L12),"Invalid residual ratings",IF(OR(AE12="",AF12="",AG12="",AH12=""),"Incomplete evidence",IF(NOT(ISNUMBER(AG12)),"Invalid assessment date",IF(OR(AG12&gt;Methodology!$B$4,AG12&lt;=0),"Invalid assessment date",IF(AG12+Methodology!$B$3&lt;Methodology!$B$4,"Expired",IF(AL12&lt;&gt;"Approved","Approval not confirmed","Valid")))))))))</f>
        <v>Expired</v>
      </c>
      <c r="AJ12" s="38">
        <f>IF(OR(F12="",G12=""),"",MAX(1,ROUND(F12*(1-IFERROR(INDEX(Methodology!$B$41:$B$44,MATCH(J12,Methodology!$A$41:$A$44,0)),0)),0))*G12)</f>
        <v>6</v>
      </c>
      <c r="AK12" s="38" t="str">
        <f t="shared" ca="1" si="6"/>
        <v>Inherent only (no valid assessment)</v>
      </c>
      <c r="AL12" s="36" t="s">
        <v>369</v>
      </c>
    </row>
    <row r="13" spans="1:38" ht="25" x14ac:dyDescent="0.35">
      <c r="A13" s="35" t="s">
        <v>299</v>
      </c>
      <c r="B13" s="24" t="s">
        <v>300</v>
      </c>
      <c r="C13" s="24" t="s">
        <v>301</v>
      </c>
      <c r="D13" s="35" t="s">
        <v>190</v>
      </c>
      <c r="E13" s="35" t="s">
        <v>302</v>
      </c>
      <c r="F13" s="36">
        <v>2</v>
      </c>
      <c r="G13" s="36">
        <v>5</v>
      </c>
      <c r="H13" s="37">
        <f t="shared" si="0"/>
        <v>10</v>
      </c>
      <c r="I13" s="38" t="str">
        <f>IF(NOT(ISNUMBER(H13)),"",INDEX(Methodology!$B$26:$B$29,MATCH(H13,Methodology!$A$26:$A$29,1)))</f>
        <v>High</v>
      </c>
      <c r="J13" s="35" t="s">
        <v>141</v>
      </c>
      <c r="K13" s="36"/>
      <c r="L13" s="36"/>
      <c r="M13" s="37">
        <f t="shared" si="1"/>
        <v>2</v>
      </c>
      <c r="N13" s="37">
        <f t="shared" si="2"/>
        <v>5</v>
      </c>
      <c r="O13" s="37">
        <f t="shared" si="3"/>
        <v>10</v>
      </c>
      <c r="P13" s="38" t="str">
        <f>IF(O13="","",INDEX(Methodology!$B$26:$B$29,MATCH(O13,Methodology!$A$26:$A$29,1)))</f>
        <v>High</v>
      </c>
      <c r="Q13" s="36">
        <v>5</v>
      </c>
      <c r="R13" s="37">
        <f t="shared" si="4"/>
        <v>5</v>
      </c>
      <c r="S13" s="37">
        <f ca="1">IF(D13="","",IFERROR(IF(OR(INDEX(Appetite!$I$6:$I$17,MATCH(D13,Appetite!$A$6:$A$17,0))="OK",INDEX(Appetite!$I$6:$I$17,MATCH(D13,Appetite!$A$6:$A$17,0))="Review overdue - approved"),INDEX(Appetite!$C$6:$C$17,MATCH(D13,Appetite!$A$6:$A$17,0)),""),""))</f>
        <v>12</v>
      </c>
      <c r="T13" s="37">
        <f ca="1">IF(D13="","",IFERROR(IF(OR(INDEX(Appetite!$I$6:$I$17,MATCH(D13,Appetite!$A$6:$A$17,0))="OK",INDEX(Appetite!$I$6:$I$17,MATCH(D13,Appetite!$A$6:$A$17,0))="Review overdue - approved"),INDEX(Appetite!$D$6:$D$17,MATCH(D13,Appetite!$A$6:$A$17,0)),""),""))</f>
        <v>20</v>
      </c>
      <c r="U13" s="38" t="str">
        <f ca="1">IF(A13="","",IF(H13="Invalid inherent ratings","Invalid inherent ratings",IF(O13="","Assessment missing",IF(COUNTIF(Appetite!$A$6:$A$17,D13)=0,"Configuration missing",IF(OR(S13="",T13=""),"Configuration: "&amp;INDEX(Appetite!$I$6:$I$17,MATCH(D13,Appetite!$A$6:$A$17,0)),IF(O13&gt;T13,"Tolerance breach",IF(O13&gt;S13,"Appetite breach","Within appetite")))))))</f>
        <v>Within appetite</v>
      </c>
      <c r="V13" s="38" t="str">
        <f>IF(A13="","",IF(COUNTIFS('Risk Acceptance Register'!$B$6:$B$105,A13,'Risk Acceptance Register'!$I$6:$I$105,"Approved")&gt;0,"Yes","No"))</f>
        <v>No</v>
      </c>
      <c r="W13" s="38" t="str">
        <f>IF(V13&lt;&gt;"Yes","",IFERROR(IF(COUNTIFS('Risk Acceptance Register'!$B$6:$B$105,A13,'Risk Acceptance Register'!$T$6:$T$105,"Eligible")&gt;0,LOOKUP(2,1/(('Risk Acceptance Register'!$B$6:$B$105=A13)*('Risk Acceptance Register'!$T$6:$T$105="Eligible")),'Risk Acceptance Register'!$J$6:$J$105),LOOKUP(2,1/(('Risk Acceptance Register'!$B$6:$B$105=A13)*('Risk Acceptance Register'!$I$6:$I$105="Approved")),'Risk Acceptance Register'!$J$6:$J$105))&amp;"",""))</f>
        <v/>
      </c>
      <c r="X13" s="39" t="str">
        <f>IF(V13&lt;&gt;"Yes","",IFERROR(IF(IF(COUNTIFS('Risk Acceptance Register'!$B$6:$B$105,A13,'Risk Acceptance Register'!$T$6:$T$105,"Eligible")&gt;0,LOOKUP(2,1/(('Risk Acceptance Register'!$B$6:$B$105=A13)*('Risk Acceptance Register'!$T$6:$T$105="Eligible")),'Risk Acceptance Register'!$M$6:$M$105),LOOKUP(2,1/(('Risk Acceptance Register'!$B$6:$B$105=A13)*('Risk Acceptance Register'!$I$6:$I$105="Approved")),'Risk Acceptance Register'!$M$6:$M$105))=0,"",IF(COUNTIFS('Risk Acceptance Register'!$B$6:$B$105,A13,'Risk Acceptance Register'!$T$6:$T$105,"Eligible")&gt;0,LOOKUP(2,1/(('Risk Acceptance Register'!$B$6:$B$105=A13)*('Risk Acceptance Register'!$T$6:$T$105="Eligible")),'Risk Acceptance Register'!$M$6:$M$105),LOOKUP(2,1/(('Risk Acceptance Register'!$B$6:$B$105=A13)*('Risk Acceptance Register'!$I$6:$I$105="Approved")),'Risk Acceptance Register'!$M$6:$M$105))),""))</f>
        <v/>
      </c>
      <c r="Y13" s="38" t="str">
        <f ca="1">IF(A13="","",IF(U13="Within appetite","Within appetite",IF(AND(U13&lt;&gt;"Appetite breach",U13&lt;&gt;"Tolerance breach"),U13,IF(COUNTIFS('Risk Acceptance Register'!$B$6:$B$105,A13,'Risk Acceptance Register'!$T$6:$T$105,"Eligible")&gt;0,"Breach - formally accepted",IF(V13="Yes",IF(X13="","Accepted - expiry not set",IF(X13&lt;Methodology!$B$4,"Acceptance expired - breach open","Breach - not accepted")),"Breach - not accepted")))))</f>
        <v>Within appetite</v>
      </c>
      <c r="Z13" s="40">
        <v>46402</v>
      </c>
      <c r="AA13" s="38" t="str">
        <f ca="1">IF(OR(A13="",Z13=""),"",IF(Z13&lt;Methodology!$B$4,"Overdue","On schedule"))</f>
        <v>On schedule</v>
      </c>
      <c r="AB13" s="38" t="str">
        <f ca="1">IF(OR(U13="",U13="Within appetite"),"",MAX(AB$5:AB12)+1)</f>
        <v/>
      </c>
      <c r="AC13" s="38">
        <f>IF(A13="","",COUNTIF('Treatment Tracker'!$B$6:$B$105,A13)-COUNTIFS('Treatment Tracker'!$B$6:$B$105,A13,'Treatment Tracker'!$H$6:$H$105,"Completed")-COUNTIFS('Treatment Tracker'!$B$6:$B$105,A13,'Treatment Tracker'!$H$6:$H$105,"Cancelled"))</f>
        <v>0</v>
      </c>
      <c r="AD13" s="38" t="str">
        <f t="shared" ca="1" si="5"/>
        <v/>
      </c>
      <c r="AE13" s="35"/>
      <c r="AF13" s="35"/>
      <c r="AG13" s="40"/>
      <c r="AH13" s="35"/>
      <c r="AI13" s="38" t="str">
        <f>IF(A13="","",IF(OR(K13="",L13=""),"No assessment",IF(OR(NOT(ISNUMBER(K13)),NOT(ISNUMBER(L13))),"Invalid residual ratings",IF(OR(K13&lt;1,K13&gt;5,L13&lt;1,L13&gt;5,INT(K13)&lt;&gt;K13,INT(L13)&lt;&gt;L13),"Invalid residual ratings",IF(OR(AE13="",AF13="",AG13="",AH13=""),"Incomplete evidence",IF(NOT(ISNUMBER(AG13)),"Invalid assessment date",IF(OR(AG13&gt;Methodology!$B$4,AG13&lt;=0),"Invalid assessment date",IF(AG13+Methodology!$B$3&lt;Methodology!$B$4,"Expired",IF(AL13&lt;&gt;"Approved","Approval not confirmed","Valid")))))))))</f>
        <v>No assessment</v>
      </c>
      <c r="AJ13" s="38">
        <f>IF(OR(F13="",G13=""),"",MAX(1,ROUND(F13*(1-IFERROR(INDEX(Methodology!$B$41:$B$44,MATCH(J13,Methodology!$A$41:$A$44,0)),0)),0))*G13)</f>
        <v>5</v>
      </c>
      <c r="AK13" s="38" t="str">
        <f t="shared" si="6"/>
        <v>Inherent only (no valid assessment)</v>
      </c>
      <c r="AL13" s="36" t="s">
        <v>369</v>
      </c>
    </row>
    <row r="14" spans="1:38" x14ac:dyDescent="0.35">
      <c r="A14" s="35"/>
      <c r="B14" s="24"/>
      <c r="C14" s="24"/>
      <c r="D14" s="35"/>
      <c r="E14" s="35"/>
      <c r="F14" s="36"/>
      <c r="G14" s="36"/>
      <c r="H14" s="37" t="str">
        <f t="shared" ref="H14:H37" si="7">IF(A14="","",IF(OR(F14="",G14=""),"",IF(OR(NOT(ISNUMBER(F14)),NOT(ISNUMBER(G14))),"Invalid inherent ratings",IF(OR(F14&lt;1,F14&gt;5,G14&lt;1,G14&gt;5,INT(F14)&lt;&gt;F14,INT(G14)&lt;&gt;G14),"Invalid inherent ratings",F14*G14))))</f>
        <v/>
      </c>
      <c r="I14" s="38" t="str">
        <f>IF(NOT(ISNUMBER(H14)),"",INDEX(Methodology!$B$26:$B$29,MATCH(H14,Methodology!$A$26:$A$29,1)))</f>
        <v/>
      </c>
      <c r="J14" s="35"/>
      <c r="K14" s="36"/>
      <c r="L14" s="36"/>
      <c r="M14" s="37" t="str">
        <f t="shared" ref="M14:M37" si="8">IF(NOT(ISNUMBER(H14)),"",IF(AI14="Valid",K14,F14))</f>
        <v/>
      </c>
      <c r="N14" s="37" t="str">
        <f t="shared" ref="N14:N37" si="9">IF(NOT(ISNUMBER(H14)),"",IF(AI14="Valid",L14,G14))</f>
        <v/>
      </c>
      <c r="O14" s="37" t="str">
        <f t="shared" ref="O14:O37" si="10">IF(OR(M14="",N14=""),"",M14*N14)</f>
        <v/>
      </c>
      <c r="P14" s="38" t="str">
        <f>IF(O14="","",INDEX(Methodology!$B$26:$B$29,MATCH(O14,Methodology!$A$26:$A$29,1)))</f>
        <v/>
      </c>
      <c r="Q14" s="36"/>
      <c r="R14" s="37" t="str">
        <f t="shared" ref="R14:R37" si="11">IF(OR(O14="",Q14=""),"",O14-Q14)</f>
        <v/>
      </c>
      <c r="S14" s="37" t="str">
        <f>IF(D14="","",IFERROR(IF(OR(INDEX(Appetite!$I$6:$I$17,MATCH(D14,Appetite!$A$6:$A$17,0))="OK",INDEX(Appetite!$I$6:$I$17,MATCH(D14,Appetite!$A$6:$A$17,0))="Review overdue - approved"),INDEX(Appetite!$C$6:$C$17,MATCH(D14,Appetite!$A$6:$A$17,0)),""),""))</f>
        <v/>
      </c>
      <c r="T14" s="37" t="str">
        <f>IF(D14="","",IFERROR(IF(OR(INDEX(Appetite!$I$6:$I$17,MATCH(D14,Appetite!$A$6:$A$17,0))="OK",INDEX(Appetite!$I$6:$I$17,MATCH(D14,Appetite!$A$6:$A$17,0))="Review overdue - approved"),INDEX(Appetite!$D$6:$D$17,MATCH(D14,Appetite!$A$6:$A$17,0)),""),""))</f>
        <v/>
      </c>
      <c r="U14" s="38" t="str">
        <f>IF(A14="","",IF(H14="Invalid inherent ratings","Invalid inherent ratings",IF(O14="","Assessment missing",IF(COUNTIF(Appetite!$A$6:$A$17,D14)=0,"Configuration missing",IF(OR(S14="",T14=""),"Configuration: "&amp;INDEX(Appetite!$I$6:$I$17,MATCH(D14,Appetite!$A$6:$A$17,0)),IF(O14&gt;T14,"Tolerance breach",IF(O14&gt;S14,"Appetite breach","Within appetite")))))))</f>
        <v/>
      </c>
      <c r="V14" s="38" t="str">
        <f>IF(A14="","",IF(COUNTIFS('Risk Acceptance Register'!$B$6:$B$105,A14,'Risk Acceptance Register'!$I$6:$I$105,"Approved")&gt;0,"Yes","No"))</f>
        <v/>
      </c>
      <c r="W14" s="38" t="str">
        <f>IF(V14&lt;&gt;"Yes","",IFERROR(IF(COUNTIFS('Risk Acceptance Register'!$B$6:$B$105,A14,'Risk Acceptance Register'!$T$6:$T$105,"Eligible")&gt;0,LOOKUP(2,1/(('Risk Acceptance Register'!$B$6:$B$105=A14)*('Risk Acceptance Register'!$T$6:$T$105="Eligible")),'Risk Acceptance Register'!$J$6:$J$105),LOOKUP(2,1/(('Risk Acceptance Register'!$B$6:$B$105=A14)*('Risk Acceptance Register'!$I$6:$I$105="Approved")),'Risk Acceptance Register'!$J$6:$J$105))&amp;"",""))</f>
        <v/>
      </c>
      <c r="X14" s="39" t="str">
        <f>IF(V14&lt;&gt;"Yes","",IFERROR(IF(IF(COUNTIFS('Risk Acceptance Register'!$B$6:$B$105,A14,'Risk Acceptance Register'!$T$6:$T$105,"Eligible")&gt;0,LOOKUP(2,1/(('Risk Acceptance Register'!$B$6:$B$105=A14)*('Risk Acceptance Register'!$T$6:$T$105="Eligible")),'Risk Acceptance Register'!$M$6:$M$105),LOOKUP(2,1/(('Risk Acceptance Register'!$B$6:$B$105=A14)*('Risk Acceptance Register'!$I$6:$I$105="Approved")),'Risk Acceptance Register'!$M$6:$M$105))=0,"",IF(COUNTIFS('Risk Acceptance Register'!$B$6:$B$105,A14,'Risk Acceptance Register'!$T$6:$T$105,"Eligible")&gt;0,LOOKUP(2,1/(('Risk Acceptance Register'!$B$6:$B$105=A14)*('Risk Acceptance Register'!$T$6:$T$105="Eligible")),'Risk Acceptance Register'!$M$6:$M$105),LOOKUP(2,1/(('Risk Acceptance Register'!$B$6:$B$105=A14)*('Risk Acceptance Register'!$I$6:$I$105="Approved")),'Risk Acceptance Register'!$M$6:$M$105))),""))</f>
        <v/>
      </c>
      <c r="Y14" s="38" t="str">
        <f>IF(A14="","",IF(U14="Within appetite","Within appetite",IF(AND(U14&lt;&gt;"Appetite breach",U14&lt;&gt;"Tolerance breach"),U14,IF(COUNTIFS('Risk Acceptance Register'!$B$6:$B$105,A14,'Risk Acceptance Register'!$T$6:$T$105,"Eligible")&gt;0,"Breach - formally accepted",IF(V14="Yes",IF(X14="","Accepted - expiry not set",IF(X14&lt;Methodology!$B$4,"Acceptance expired - breach open","Breach - not accepted")),"Breach - not accepted")))))</f>
        <v/>
      </c>
      <c r="Z14" s="40"/>
      <c r="AA14" s="38" t="str">
        <f>IF(OR(A14="",Z14=""),"",IF(Z14&lt;Methodology!$B$4,"Overdue","On schedule"))</f>
        <v/>
      </c>
      <c r="AB14" s="38" t="str">
        <f>IF(OR(U14="",U14="Within appetite"),"",MAX(AB$5:AB13)+1)</f>
        <v/>
      </c>
      <c r="AC14" s="38" t="str">
        <f>IF(A14="","",COUNTIF('Treatment Tracker'!$B$6:$B$105,A14)-COUNTIFS('Treatment Tracker'!$B$6:$B$105,A14,'Treatment Tracker'!$H$6:$H$105,"Completed")-COUNTIFS('Treatment Tracker'!$B$6:$B$105,A14,'Treatment Tracker'!$H$6:$H$105,"Cancelled"))</f>
        <v/>
      </c>
      <c r="AD14" s="38" t="str">
        <f t="shared" ref="AD14:AD37" si="12">IF(OR(U14="",U14="Within appetite"),"",IF(AND(AC14=0,Y14&lt;&gt;"Breach - formally accepted"),"Gap",""))</f>
        <v/>
      </c>
      <c r="AE14" s="35"/>
      <c r="AF14" s="35"/>
      <c r="AG14" s="40"/>
      <c r="AH14" s="35"/>
      <c r="AI14" s="38" t="str">
        <f>IF(A14="","",IF(OR(K14="",L14=""),"No assessment",IF(OR(NOT(ISNUMBER(K14)),NOT(ISNUMBER(L14))),"Invalid residual ratings",IF(OR(K14&lt;1,K14&gt;5,L14&lt;1,L14&gt;5,INT(K14)&lt;&gt;K14,INT(L14)&lt;&gt;L14),"Invalid residual ratings",IF(OR(AE14="",AF14="",AG14="",AH14=""),"Incomplete evidence",IF(NOT(ISNUMBER(AG14)),"Invalid assessment date",IF(OR(AG14&gt;Methodology!$B$4,AG14&lt;=0),"Invalid assessment date",IF(AG14+Methodology!$B$3&lt;Methodology!$B$4,"Expired",IF(AL14&lt;&gt;"Approved","Approval not confirmed","Valid")))))))))</f>
        <v/>
      </c>
      <c r="AJ14" s="38" t="str">
        <f>IF(OR(F14="",G14=""),"",MAX(1,ROUND(F14*(1-IFERROR(INDEX(Methodology!$B$41:$B$44,MATCH(J14,Methodology!$A$41:$A$44,0)),0)),0))*G14)</f>
        <v/>
      </c>
      <c r="AK14" s="38" t="str">
        <f t="shared" ref="AK14:AK37" si="13">IF(A14="","",IF(AI14="Valid","Assessed (evidence-supported)","Inherent only (no valid assessment)"))</f>
        <v/>
      </c>
      <c r="AL14" s="36"/>
    </row>
    <row r="15" spans="1:38" x14ac:dyDescent="0.35">
      <c r="A15" s="35"/>
      <c r="B15" s="24"/>
      <c r="C15" s="24"/>
      <c r="D15" s="35"/>
      <c r="E15" s="35"/>
      <c r="F15" s="36"/>
      <c r="G15" s="36"/>
      <c r="H15" s="37" t="str">
        <f t="shared" si="7"/>
        <v/>
      </c>
      <c r="I15" s="38" t="str">
        <f>IF(NOT(ISNUMBER(H15)),"",INDEX(Methodology!$B$26:$B$29,MATCH(H15,Methodology!$A$26:$A$29,1)))</f>
        <v/>
      </c>
      <c r="J15" s="35"/>
      <c r="K15" s="36"/>
      <c r="L15" s="36"/>
      <c r="M15" s="37" t="str">
        <f t="shared" si="8"/>
        <v/>
      </c>
      <c r="N15" s="37" t="str">
        <f t="shared" si="9"/>
        <v/>
      </c>
      <c r="O15" s="37" t="str">
        <f t="shared" si="10"/>
        <v/>
      </c>
      <c r="P15" s="38" t="str">
        <f>IF(O15="","",INDEX(Methodology!$B$26:$B$29,MATCH(O15,Methodology!$A$26:$A$29,1)))</f>
        <v/>
      </c>
      <c r="Q15" s="36"/>
      <c r="R15" s="37" t="str">
        <f t="shared" si="11"/>
        <v/>
      </c>
      <c r="S15" s="37" t="str">
        <f>IF(D15="","",IFERROR(IF(OR(INDEX(Appetite!$I$6:$I$17,MATCH(D15,Appetite!$A$6:$A$17,0))="OK",INDEX(Appetite!$I$6:$I$17,MATCH(D15,Appetite!$A$6:$A$17,0))="Review overdue - approved"),INDEX(Appetite!$C$6:$C$17,MATCH(D15,Appetite!$A$6:$A$17,0)),""),""))</f>
        <v/>
      </c>
      <c r="T15" s="37" t="str">
        <f>IF(D15="","",IFERROR(IF(OR(INDEX(Appetite!$I$6:$I$17,MATCH(D15,Appetite!$A$6:$A$17,0))="OK",INDEX(Appetite!$I$6:$I$17,MATCH(D15,Appetite!$A$6:$A$17,0))="Review overdue - approved"),INDEX(Appetite!$D$6:$D$17,MATCH(D15,Appetite!$A$6:$A$17,0)),""),""))</f>
        <v/>
      </c>
      <c r="U15" s="38" t="str">
        <f>IF(A15="","",IF(H15="Invalid inherent ratings","Invalid inherent ratings",IF(O15="","Assessment missing",IF(COUNTIF(Appetite!$A$6:$A$17,D15)=0,"Configuration missing",IF(OR(S15="",T15=""),"Configuration: "&amp;INDEX(Appetite!$I$6:$I$17,MATCH(D15,Appetite!$A$6:$A$17,0)),IF(O15&gt;T15,"Tolerance breach",IF(O15&gt;S15,"Appetite breach","Within appetite")))))))</f>
        <v/>
      </c>
      <c r="V15" s="38" t="str">
        <f>IF(A15="","",IF(COUNTIFS('Risk Acceptance Register'!$B$6:$B$105,A15,'Risk Acceptance Register'!$I$6:$I$105,"Approved")&gt;0,"Yes","No"))</f>
        <v/>
      </c>
      <c r="W15" s="38" t="str">
        <f>IF(V15&lt;&gt;"Yes","",IFERROR(IF(COUNTIFS('Risk Acceptance Register'!$B$6:$B$105,A15,'Risk Acceptance Register'!$T$6:$T$105,"Eligible")&gt;0,LOOKUP(2,1/(('Risk Acceptance Register'!$B$6:$B$105=A15)*('Risk Acceptance Register'!$T$6:$T$105="Eligible")),'Risk Acceptance Register'!$J$6:$J$105),LOOKUP(2,1/(('Risk Acceptance Register'!$B$6:$B$105=A15)*('Risk Acceptance Register'!$I$6:$I$105="Approved")),'Risk Acceptance Register'!$J$6:$J$105))&amp;"",""))</f>
        <v/>
      </c>
      <c r="X15" s="39" t="str">
        <f>IF(V15&lt;&gt;"Yes","",IFERROR(IF(IF(COUNTIFS('Risk Acceptance Register'!$B$6:$B$105,A15,'Risk Acceptance Register'!$T$6:$T$105,"Eligible")&gt;0,LOOKUP(2,1/(('Risk Acceptance Register'!$B$6:$B$105=A15)*('Risk Acceptance Register'!$T$6:$T$105="Eligible")),'Risk Acceptance Register'!$M$6:$M$105),LOOKUP(2,1/(('Risk Acceptance Register'!$B$6:$B$105=A15)*('Risk Acceptance Register'!$I$6:$I$105="Approved")),'Risk Acceptance Register'!$M$6:$M$105))=0,"",IF(COUNTIFS('Risk Acceptance Register'!$B$6:$B$105,A15,'Risk Acceptance Register'!$T$6:$T$105,"Eligible")&gt;0,LOOKUP(2,1/(('Risk Acceptance Register'!$B$6:$B$105=A15)*('Risk Acceptance Register'!$T$6:$T$105="Eligible")),'Risk Acceptance Register'!$M$6:$M$105),LOOKUP(2,1/(('Risk Acceptance Register'!$B$6:$B$105=A15)*('Risk Acceptance Register'!$I$6:$I$105="Approved")),'Risk Acceptance Register'!$M$6:$M$105))),""))</f>
        <v/>
      </c>
      <c r="Y15" s="38" t="str">
        <f>IF(A15="","",IF(U15="Within appetite","Within appetite",IF(AND(U15&lt;&gt;"Appetite breach",U15&lt;&gt;"Tolerance breach"),U15,IF(COUNTIFS('Risk Acceptance Register'!$B$6:$B$105,A15,'Risk Acceptance Register'!$T$6:$T$105,"Eligible")&gt;0,"Breach - formally accepted",IF(V15="Yes",IF(X15="","Accepted - expiry not set",IF(X15&lt;Methodology!$B$4,"Acceptance expired - breach open","Breach - not accepted")),"Breach - not accepted")))))</f>
        <v/>
      </c>
      <c r="Z15" s="40"/>
      <c r="AA15" s="38" t="str">
        <f>IF(OR(A15="",Z15=""),"",IF(Z15&lt;Methodology!$B$4,"Overdue","On schedule"))</f>
        <v/>
      </c>
      <c r="AB15" s="38" t="str">
        <f>IF(OR(U15="",U15="Within appetite"),"",MAX(AB$5:AB14)+1)</f>
        <v/>
      </c>
      <c r="AC15" s="38" t="str">
        <f>IF(A15="","",COUNTIF('Treatment Tracker'!$B$6:$B$105,A15)-COUNTIFS('Treatment Tracker'!$B$6:$B$105,A15,'Treatment Tracker'!$H$6:$H$105,"Completed")-COUNTIFS('Treatment Tracker'!$B$6:$B$105,A15,'Treatment Tracker'!$H$6:$H$105,"Cancelled"))</f>
        <v/>
      </c>
      <c r="AD15" s="38" t="str">
        <f t="shared" si="12"/>
        <v/>
      </c>
      <c r="AE15" s="35"/>
      <c r="AF15" s="35"/>
      <c r="AG15" s="40"/>
      <c r="AH15" s="35"/>
      <c r="AI15" s="38" t="str">
        <f>IF(A15="","",IF(OR(K15="",L15=""),"No assessment",IF(OR(NOT(ISNUMBER(K15)),NOT(ISNUMBER(L15))),"Invalid residual ratings",IF(OR(K15&lt;1,K15&gt;5,L15&lt;1,L15&gt;5,INT(K15)&lt;&gt;K15,INT(L15)&lt;&gt;L15),"Invalid residual ratings",IF(OR(AE15="",AF15="",AG15="",AH15=""),"Incomplete evidence",IF(NOT(ISNUMBER(AG15)),"Invalid assessment date",IF(OR(AG15&gt;Methodology!$B$4,AG15&lt;=0),"Invalid assessment date",IF(AG15+Methodology!$B$3&lt;Methodology!$B$4,"Expired",IF(AL15&lt;&gt;"Approved","Approval not confirmed","Valid")))))))))</f>
        <v/>
      </c>
      <c r="AJ15" s="38" t="str">
        <f>IF(OR(F15="",G15=""),"",MAX(1,ROUND(F15*(1-IFERROR(INDEX(Methodology!$B$41:$B$44,MATCH(J15,Methodology!$A$41:$A$44,0)),0)),0))*G15)</f>
        <v/>
      </c>
      <c r="AK15" s="38" t="str">
        <f t="shared" si="13"/>
        <v/>
      </c>
      <c r="AL15" s="36"/>
    </row>
    <row r="16" spans="1:38" x14ac:dyDescent="0.35">
      <c r="A16" s="35"/>
      <c r="B16" s="24"/>
      <c r="C16" s="24"/>
      <c r="D16" s="35"/>
      <c r="E16" s="35"/>
      <c r="F16" s="36"/>
      <c r="G16" s="36"/>
      <c r="H16" s="37" t="str">
        <f t="shared" si="7"/>
        <v/>
      </c>
      <c r="I16" s="38" t="str">
        <f>IF(NOT(ISNUMBER(H16)),"",INDEX(Methodology!$B$26:$B$29,MATCH(H16,Methodology!$A$26:$A$29,1)))</f>
        <v/>
      </c>
      <c r="J16" s="35"/>
      <c r="K16" s="36"/>
      <c r="L16" s="36"/>
      <c r="M16" s="37" t="str">
        <f t="shared" si="8"/>
        <v/>
      </c>
      <c r="N16" s="37" t="str">
        <f t="shared" si="9"/>
        <v/>
      </c>
      <c r="O16" s="37" t="str">
        <f t="shared" si="10"/>
        <v/>
      </c>
      <c r="P16" s="38" t="str">
        <f>IF(O16="","",INDEX(Methodology!$B$26:$B$29,MATCH(O16,Methodology!$A$26:$A$29,1)))</f>
        <v/>
      </c>
      <c r="Q16" s="36"/>
      <c r="R16" s="37" t="str">
        <f t="shared" si="11"/>
        <v/>
      </c>
      <c r="S16" s="37" t="str">
        <f>IF(D16="","",IFERROR(IF(OR(INDEX(Appetite!$I$6:$I$17,MATCH(D16,Appetite!$A$6:$A$17,0))="OK",INDEX(Appetite!$I$6:$I$17,MATCH(D16,Appetite!$A$6:$A$17,0))="Review overdue - approved"),INDEX(Appetite!$C$6:$C$17,MATCH(D16,Appetite!$A$6:$A$17,0)),""),""))</f>
        <v/>
      </c>
      <c r="T16" s="37" t="str">
        <f>IF(D16="","",IFERROR(IF(OR(INDEX(Appetite!$I$6:$I$17,MATCH(D16,Appetite!$A$6:$A$17,0))="OK",INDEX(Appetite!$I$6:$I$17,MATCH(D16,Appetite!$A$6:$A$17,0))="Review overdue - approved"),INDEX(Appetite!$D$6:$D$17,MATCH(D16,Appetite!$A$6:$A$17,0)),""),""))</f>
        <v/>
      </c>
      <c r="U16" s="38" t="str">
        <f>IF(A16="","",IF(H16="Invalid inherent ratings","Invalid inherent ratings",IF(O16="","Assessment missing",IF(COUNTIF(Appetite!$A$6:$A$17,D16)=0,"Configuration missing",IF(OR(S16="",T16=""),"Configuration: "&amp;INDEX(Appetite!$I$6:$I$17,MATCH(D16,Appetite!$A$6:$A$17,0)),IF(O16&gt;T16,"Tolerance breach",IF(O16&gt;S16,"Appetite breach","Within appetite")))))))</f>
        <v/>
      </c>
      <c r="V16" s="38" t="str">
        <f>IF(A16="","",IF(COUNTIFS('Risk Acceptance Register'!$B$6:$B$105,A16,'Risk Acceptance Register'!$I$6:$I$105,"Approved")&gt;0,"Yes","No"))</f>
        <v/>
      </c>
      <c r="W16" s="38" t="str">
        <f>IF(V16&lt;&gt;"Yes","",IFERROR(IF(COUNTIFS('Risk Acceptance Register'!$B$6:$B$105,A16,'Risk Acceptance Register'!$T$6:$T$105,"Eligible")&gt;0,LOOKUP(2,1/(('Risk Acceptance Register'!$B$6:$B$105=A16)*('Risk Acceptance Register'!$T$6:$T$105="Eligible")),'Risk Acceptance Register'!$J$6:$J$105),LOOKUP(2,1/(('Risk Acceptance Register'!$B$6:$B$105=A16)*('Risk Acceptance Register'!$I$6:$I$105="Approved")),'Risk Acceptance Register'!$J$6:$J$105))&amp;"",""))</f>
        <v/>
      </c>
      <c r="X16" s="39" t="str">
        <f>IF(V16&lt;&gt;"Yes","",IFERROR(IF(IF(COUNTIFS('Risk Acceptance Register'!$B$6:$B$105,A16,'Risk Acceptance Register'!$T$6:$T$105,"Eligible")&gt;0,LOOKUP(2,1/(('Risk Acceptance Register'!$B$6:$B$105=A16)*('Risk Acceptance Register'!$T$6:$T$105="Eligible")),'Risk Acceptance Register'!$M$6:$M$105),LOOKUP(2,1/(('Risk Acceptance Register'!$B$6:$B$105=A16)*('Risk Acceptance Register'!$I$6:$I$105="Approved")),'Risk Acceptance Register'!$M$6:$M$105))=0,"",IF(COUNTIFS('Risk Acceptance Register'!$B$6:$B$105,A16,'Risk Acceptance Register'!$T$6:$T$105,"Eligible")&gt;0,LOOKUP(2,1/(('Risk Acceptance Register'!$B$6:$B$105=A16)*('Risk Acceptance Register'!$T$6:$T$105="Eligible")),'Risk Acceptance Register'!$M$6:$M$105),LOOKUP(2,1/(('Risk Acceptance Register'!$B$6:$B$105=A16)*('Risk Acceptance Register'!$I$6:$I$105="Approved")),'Risk Acceptance Register'!$M$6:$M$105))),""))</f>
        <v/>
      </c>
      <c r="Y16" s="38" t="str">
        <f>IF(A16="","",IF(U16="Within appetite","Within appetite",IF(AND(U16&lt;&gt;"Appetite breach",U16&lt;&gt;"Tolerance breach"),U16,IF(COUNTIFS('Risk Acceptance Register'!$B$6:$B$105,A16,'Risk Acceptance Register'!$T$6:$T$105,"Eligible")&gt;0,"Breach - formally accepted",IF(V16="Yes",IF(X16="","Accepted - expiry not set",IF(X16&lt;Methodology!$B$4,"Acceptance expired - breach open","Breach - not accepted")),"Breach - not accepted")))))</f>
        <v/>
      </c>
      <c r="Z16" s="40"/>
      <c r="AA16" s="38" t="str">
        <f>IF(OR(A16="",Z16=""),"",IF(Z16&lt;Methodology!$B$4,"Overdue","On schedule"))</f>
        <v/>
      </c>
      <c r="AB16" s="38" t="str">
        <f>IF(OR(U16="",U16="Within appetite"),"",MAX(AB$5:AB15)+1)</f>
        <v/>
      </c>
      <c r="AC16" s="38" t="str">
        <f>IF(A16="","",COUNTIF('Treatment Tracker'!$B$6:$B$105,A16)-COUNTIFS('Treatment Tracker'!$B$6:$B$105,A16,'Treatment Tracker'!$H$6:$H$105,"Completed")-COUNTIFS('Treatment Tracker'!$B$6:$B$105,A16,'Treatment Tracker'!$H$6:$H$105,"Cancelled"))</f>
        <v/>
      </c>
      <c r="AD16" s="38" t="str">
        <f t="shared" si="12"/>
        <v/>
      </c>
      <c r="AE16" s="35"/>
      <c r="AF16" s="35"/>
      <c r="AG16" s="40"/>
      <c r="AH16" s="35"/>
      <c r="AI16" s="38" t="str">
        <f>IF(A16="","",IF(OR(K16="",L16=""),"No assessment",IF(OR(NOT(ISNUMBER(K16)),NOT(ISNUMBER(L16))),"Invalid residual ratings",IF(OR(K16&lt;1,K16&gt;5,L16&lt;1,L16&gt;5,INT(K16)&lt;&gt;K16,INT(L16)&lt;&gt;L16),"Invalid residual ratings",IF(OR(AE16="",AF16="",AG16="",AH16=""),"Incomplete evidence",IF(NOT(ISNUMBER(AG16)),"Invalid assessment date",IF(OR(AG16&gt;Methodology!$B$4,AG16&lt;=0),"Invalid assessment date",IF(AG16+Methodology!$B$3&lt;Methodology!$B$4,"Expired",IF(AL16&lt;&gt;"Approved","Approval not confirmed","Valid")))))))))</f>
        <v/>
      </c>
      <c r="AJ16" s="38" t="str">
        <f>IF(OR(F16="",G16=""),"",MAX(1,ROUND(F16*(1-IFERROR(INDEX(Methodology!$B$41:$B$44,MATCH(J16,Methodology!$A$41:$A$44,0)),0)),0))*G16)</f>
        <v/>
      </c>
      <c r="AK16" s="38" t="str">
        <f t="shared" si="13"/>
        <v/>
      </c>
      <c r="AL16" s="36"/>
    </row>
    <row r="17" spans="1:38" x14ac:dyDescent="0.35">
      <c r="A17" s="35"/>
      <c r="B17" s="24"/>
      <c r="C17" s="24"/>
      <c r="D17" s="35"/>
      <c r="E17" s="35"/>
      <c r="F17" s="36"/>
      <c r="G17" s="36"/>
      <c r="H17" s="37" t="str">
        <f t="shared" si="7"/>
        <v/>
      </c>
      <c r="I17" s="38" t="str">
        <f>IF(NOT(ISNUMBER(H17)),"",INDEX(Methodology!$B$26:$B$29,MATCH(H17,Methodology!$A$26:$A$29,1)))</f>
        <v/>
      </c>
      <c r="J17" s="35"/>
      <c r="K17" s="36"/>
      <c r="L17" s="36"/>
      <c r="M17" s="37" t="str">
        <f t="shared" si="8"/>
        <v/>
      </c>
      <c r="N17" s="37" t="str">
        <f t="shared" si="9"/>
        <v/>
      </c>
      <c r="O17" s="37" t="str">
        <f t="shared" si="10"/>
        <v/>
      </c>
      <c r="P17" s="38" t="str">
        <f>IF(O17="","",INDEX(Methodology!$B$26:$B$29,MATCH(O17,Methodology!$A$26:$A$29,1)))</f>
        <v/>
      </c>
      <c r="Q17" s="36"/>
      <c r="R17" s="37" t="str">
        <f t="shared" si="11"/>
        <v/>
      </c>
      <c r="S17" s="37" t="str">
        <f>IF(D17="","",IFERROR(IF(OR(INDEX(Appetite!$I$6:$I$17,MATCH(D17,Appetite!$A$6:$A$17,0))="OK",INDEX(Appetite!$I$6:$I$17,MATCH(D17,Appetite!$A$6:$A$17,0))="Review overdue - approved"),INDEX(Appetite!$C$6:$C$17,MATCH(D17,Appetite!$A$6:$A$17,0)),""),""))</f>
        <v/>
      </c>
      <c r="T17" s="37" t="str">
        <f>IF(D17="","",IFERROR(IF(OR(INDEX(Appetite!$I$6:$I$17,MATCH(D17,Appetite!$A$6:$A$17,0))="OK",INDEX(Appetite!$I$6:$I$17,MATCH(D17,Appetite!$A$6:$A$17,0))="Review overdue - approved"),INDEX(Appetite!$D$6:$D$17,MATCH(D17,Appetite!$A$6:$A$17,0)),""),""))</f>
        <v/>
      </c>
      <c r="U17" s="38" t="str">
        <f>IF(A17="","",IF(H17="Invalid inherent ratings","Invalid inherent ratings",IF(O17="","Assessment missing",IF(COUNTIF(Appetite!$A$6:$A$17,D17)=0,"Configuration missing",IF(OR(S17="",T17=""),"Configuration: "&amp;INDEX(Appetite!$I$6:$I$17,MATCH(D17,Appetite!$A$6:$A$17,0)),IF(O17&gt;T17,"Tolerance breach",IF(O17&gt;S17,"Appetite breach","Within appetite")))))))</f>
        <v/>
      </c>
      <c r="V17" s="38" t="str">
        <f>IF(A17="","",IF(COUNTIFS('Risk Acceptance Register'!$B$6:$B$105,A17,'Risk Acceptance Register'!$I$6:$I$105,"Approved")&gt;0,"Yes","No"))</f>
        <v/>
      </c>
      <c r="W17" s="38" t="str">
        <f>IF(V17&lt;&gt;"Yes","",IFERROR(IF(COUNTIFS('Risk Acceptance Register'!$B$6:$B$105,A17,'Risk Acceptance Register'!$T$6:$T$105,"Eligible")&gt;0,LOOKUP(2,1/(('Risk Acceptance Register'!$B$6:$B$105=A17)*('Risk Acceptance Register'!$T$6:$T$105="Eligible")),'Risk Acceptance Register'!$J$6:$J$105),LOOKUP(2,1/(('Risk Acceptance Register'!$B$6:$B$105=A17)*('Risk Acceptance Register'!$I$6:$I$105="Approved")),'Risk Acceptance Register'!$J$6:$J$105))&amp;"",""))</f>
        <v/>
      </c>
      <c r="X17" s="39" t="str">
        <f>IF(V17&lt;&gt;"Yes","",IFERROR(IF(IF(COUNTIFS('Risk Acceptance Register'!$B$6:$B$105,A17,'Risk Acceptance Register'!$T$6:$T$105,"Eligible")&gt;0,LOOKUP(2,1/(('Risk Acceptance Register'!$B$6:$B$105=A17)*('Risk Acceptance Register'!$T$6:$T$105="Eligible")),'Risk Acceptance Register'!$M$6:$M$105),LOOKUP(2,1/(('Risk Acceptance Register'!$B$6:$B$105=A17)*('Risk Acceptance Register'!$I$6:$I$105="Approved")),'Risk Acceptance Register'!$M$6:$M$105))=0,"",IF(COUNTIFS('Risk Acceptance Register'!$B$6:$B$105,A17,'Risk Acceptance Register'!$T$6:$T$105,"Eligible")&gt;0,LOOKUP(2,1/(('Risk Acceptance Register'!$B$6:$B$105=A17)*('Risk Acceptance Register'!$T$6:$T$105="Eligible")),'Risk Acceptance Register'!$M$6:$M$105),LOOKUP(2,1/(('Risk Acceptance Register'!$B$6:$B$105=A17)*('Risk Acceptance Register'!$I$6:$I$105="Approved")),'Risk Acceptance Register'!$M$6:$M$105))),""))</f>
        <v/>
      </c>
      <c r="Y17" s="38" t="str">
        <f>IF(A17="","",IF(U17="Within appetite","Within appetite",IF(AND(U17&lt;&gt;"Appetite breach",U17&lt;&gt;"Tolerance breach"),U17,IF(COUNTIFS('Risk Acceptance Register'!$B$6:$B$105,A17,'Risk Acceptance Register'!$T$6:$T$105,"Eligible")&gt;0,"Breach - formally accepted",IF(V17="Yes",IF(X17="","Accepted - expiry not set",IF(X17&lt;Methodology!$B$4,"Acceptance expired - breach open","Breach - not accepted")),"Breach - not accepted")))))</f>
        <v/>
      </c>
      <c r="Z17" s="40"/>
      <c r="AA17" s="38" t="str">
        <f>IF(OR(A17="",Z17=""),"",IF(Z17&lt;Methodology!$B$4,"Overdue","On schedule"))</f>
        <v/>
      </c>
      <c r="AB17" s="38" t="str">
        <f>IF(OR(U17="",U17="Within appetite"),"",MAX(AB$5:AB16)+1)</f>
        <v/>
      </c>
      <c r="AC17" s="38" t="str">
        <f>IF(A17="","",COUNTIF('Treatment Tracker'!$B$6:$B$105,A17)-COUNTIFS('Treatment Tracker'!$B$6:$B$105,A17,'Treatment Tracker'!$H$6:$H$105,"Completed")-COUNTIFS('Treatment Tracker'!$B$6:$B$105,A17,'Treatment Tracker'!$H$6:$H$105,"Cancelled"))</f>
        <v/>
      </c>
      <c r="AD17" s="38" t="str">
        <f t="shared" si="12"/>
        <v/>
      </c>
      <c r="AE17" s="35"/>
      <c r="AF17" s="35"/>
      <c r="AG17" s="40"/>
      <c r="AH17" s="35"/>
      <c r="AI17" s="38" t="str">
        <f>IF(A17="","",IF(OR(K17="",L17=""),"No assessment",IF(OR(NOT(ISNUMBER(K17)),NOT(ISNUMBER(L17))),"Invalid residual ratings",IF(OR(K17&lt;1,K17&gt;5,L17&lt;1,L17&gt;5,INT(K17)&lt;&gt;K17,INT(L17)&lt;&gt;L17),"Invalid residual ratings",IF(OR(AE17="",AF17="",AG17="",AH17=""),"Incomplete evidence",IF(NOT(ISNUMBER(AG17)),"Invalid assessment date",IF(OR(AG17&gt;Methodology!$B$4,AG17&lt;=0),"Invalid assessment date",IF(AG17+Methodology!$B$3&lt;Methodology!$B$4,"Expired",IF(AL17&lt;&gt;"Approved","Approval not confirmed","Valid")))))))))</f>
        <v/>
      </c>
      <c r="AJ17" s="38" t="str">
        <f>IF(OR(F17="",G17=""),"",MAX(1,ROUND(F17*(1-IFERROR(INDEX(Methodology!$B$41:$B$44,MATCH(J17,Methodology!$A$41:$A$44,0)),0)),0))*G17)</f>
        <v/>
      </c>
      <c r="AK17" s="38" t="str">
        <f t="shared" si="13"/>
        <v/>
      </c>
      <c r="AL17" s="36"/>
    </row>
    <row r="18" spans="1:38" x14ac:dyDescent="0.35">
      <c r="A18" s="35"/>
      <c r="B18" s="24"/>
      <c r="C18" s="24"/>
      <c r="D18" s="35"/>
      <c r="E18" s="35"/>
      <c r="F18" s="36"/>
      <c r="G18" s="36"/>
      <c r="H18" s="37" t="str">
        <f t="shared" si="7"/>
        <v/>
      </c>
      <c r="I18" s="38" t="str">
        <f>IF(NOT(ISNUMBER(H18)),"",INDEX(Methodology!$B$26:$B$29,MATCH(H18,Methodology!$A$26:$A$29,1)))</f>
        <v/>
      </c>
      <c r="J18" s="35"/>
      <c r="K18" s="36"/>
      <c r="L18" s="36"/>
      <c r="M18" s="37" t="str">
        <f t="shared" si="8"/>
        <v/>
      </c>
      <c r="N18" s="37" t="str">
        <f t="shared" si="9"/>
        <v/>
      </c>
      <c r="O18" s="37" t="str">
        <f t="shared" si="10"/>
        <v/>
      </c>
      <c r="P18" s="38" t="str">
        <f>IF(O18="","",INDEX(Methodology!$B$26:$B$29,MATCH(O18,Methodology!$A$26:$A$29,1)))</f>
        <v/>
      </c>
      <c r="Q18" s="36"/>
      <c r="R18" s="37" t="str">
        <f t="shared" si="11"/>
        <v/>
      </c>
      <c r="S18" s="37" t="str">
        <f>IF(D18="","",IFERROR(IF(OR(INDEX(Appetite!$I$6:$I$17,MATCH(D18,Appetite!$A$6:$A$17,0))="OK",INDEX(Appetite!$I$6:$I$17,MATCH(D18,Appetite!$A$6:$A$17,0))="Review overdue - approved"),INDEX(Appetite!$C$6:$C$17,MATCH(D18,Appetite!$A$6:$A$17,0)),""),""))</f>
        <v/>
      </c>
      <c r="T18" s="37" t="str">
        <f>IF(D18="","",IFERROR(IF(OR(INDEX(Appetite!$I$6:$I$17,MATCH(D18,Appetite!$A$6:$A$17,0))="OK",INDEX(Appetite!$I$6:$I$17,MATCH(D18,Appetite!$A$6:$A$17,0))="Review overdue - approved"),INDEX(Appetite!$D$6:$D$17,MATCH(D18,Appetite!$A$6:$A$17,0)),""),""))</f>
        <v/>
      </c>
      <c r="U18" s="38" t="str">
        <f>IF(A18="","",IF(H18="Invalid inherent ratings","Invalid inherent ratings",IF(O18="","Assessment missing",IF(COUNTIF(Appetite!$A$6:$A$17,D18)=0,"Configuration missing",IF(OR(S18="",T18=""),"Configuration: "&amp;INDEX(Appetite!$I$6:$I$17,MATCH(D18,Appetite!$A$6:$A$17,0)),IF(O18&gt;T18,"Tolerance breach",IF(O18&gt;S18,"Appetite breach","Within appetite")))))))</f>
        <v/>
      </c>
      <c r="V18" s="38" t="str">
        <f>IF(A18="","",IF(COUNTIFS('Risk Acceptance Register'!$B$6:$B$105,A18,'Risk Acceptance Register'!$I$6:$I$105,"Approved")&gt;0,"Yes","No"))</f>
        <v/>
      </c>
      <c r="W18" s="38" t="str">
        <f>IF(V18&lt;&gt;"Yes","",IFERROR(IF(COUNTIFS('Risk Acceptance Register'!$B$6:$B$105,A18,'Risk Acceptance Register'!$T$6:$T$105,"Eligible")&gt;0,LOOKUP(2,1/(('Risk Acceptance Register'!$B$6:$B$105=A18)*('Risk Acceptance Register'!$T$6:$T$105="Eligible")),'Risk Acceptance Register'!$J$6:$J$105),LOOKUP(2,1/(('Risk Acceptance Register'!$B$6:$B$105=A18)*('Risk Acceptance Register'!$I$6:$I$105="Approved")),'Risk Acceptance Register'!$J$6:$J$105))&amp;"",""))</f>
        <v/>
      </c>
      <c r="X18" s="39" t="str">
        <f>IF(V18&lt;&gt;"Yes","",IFERROR(IF(IF(COUNTIFS('Risk Acceptance Register'!$B$6:$B$105,A18,'Risk Acceptance Register'!$T$6:$T$105,"Eligible")&gt;0,LOOKUP(2,1/(('Risk Acceptance Register'!$B$6:$B$105=A18)*('Risk Acceptance Register'!$T$6:$T$105="Eligible")),'Risk Acceptance Register'!$M$6:$M$105),LOOKUP(2,1/(('Risk Acceptance Register'!$B$6:$B$105=A18)*('Risk Acceptance Register'!$I$6:$I$105="Approved")),'Risk Acceptance Register'!$M$6:$M$105))=0,"",IF(COUNTIFS('Risk Acceptance Register'!$B$6:$B$105,A18,'Risk Acceptance Register'!$T$6:$T$105,"Eligible")&gt;0,LOOKUP(2,1/(('Risk Acceptance Register'!$B$6:$B$105=A18)*('Risk Acceptance Register'!$T$6:$T$105="Eligible")),'Risk Acceptance Register'!$M$6:$M$105),LOOKUP(2,1/(('Risk Acceptance Register'!$B$6:$B$105=A18)*('Risk Acceptance Register'!$I$6:$I$105="Approved")),'Risk Acceptance Register'!$M$6:$M$105))),""))</f>
        <v/>
      </c>
      <c r="Y18" s="38" t="str">
        <f>IF(A18="","",IF(U18="Within appetite","Within appetite",IF(AND(U18&lt;&gt;"Appetite breach",U18&lt;&gt;"Tolerance breach"),U18,IF(COUNTIFS('Risk Acceptance Register'!$B$6:$B$105,A18,'Risk Acceptance Register'!$T$6:$T$105,"Eligible")&gt;0,"Breach - formally accepted",IF(V18="Yes",IF(X18="","Accepted - expiry not set",IF(X18&lt;Methodology!$B$4,"Acceptance expired - breach open","Breach - not accepted")),"Breach - not accepted")))))</f>
        <v/>
      </c>
      <c r="Z18" s="40"/>
      <c r="AA18" s="38" t="str">
        <f>IF(OR(A18="",Z18=""),"",IF(Z18&lt;Methodology!$B$4,"Overdue","On schedule"))</f>
        <v/>
      </c>
      <c r="AB18" s="38" t="str">
        <f>IF(OR(U18="",U18="Within appetite"),"",MAX(AB$5:AB17)+1)</f>
        <v/>
      </c>
      <c r="AC18" s="38" t="str">
        <f>IF(A18="","",COUNTIF('Treatment Tracker'!$B$6:$B$105,A18)-COUNTIFS('Treatment Tracker'!$B$6:$B$105,A18,'Treatment Tracker'!$H$6:$H$105,"Completed")-COUNTIFS('Treatment Tracker'!$B$6:$B$105,A18,'Treatment Tracker'!$H$6:$H$105,"Cancelled"))</f>
        <v/>
      </c>
      <c r="AD18" s="38" t="str">
        <f t="shared" si="12"/>
        <v/>
      </c>
      <c r="AE18" s="35"/>
      <c r="AF18" s="35"/>
      <c r="AG18" s="40"/>
      <c r="AH18" s="35"/>
      <c r="AI18" s="38" t="str">
        <f>IF(A18="","",IF(OR(K18="",L18=""),"No assessment",IF(OR(NOT(ISNUMBER(K18)),NOT(ISNUMBER(L18))),"Invalid residual ratings",IF(OR(K18&lt;1,K18&gt;5,L18&lt;1,L18&gt;5,INT(K18)&lt;&gt;K18,INT(L18)&lt;&gt;L18),"Invalid residual ratings",IF(OR(AE18="",AF18="",AG18="",AH18=""),"Incomplete evidence",IF(NOT(ISNUMBER(AG18)),"Invalid assessment date",IF(OR(AG18&gt;Methodology!$B$4,AG18&lt;=0),"Invalid assessment date",IF(AG18+Methodology!$B$3&lt;Methodology!$B$4,"Expired",IF(AL18&lt;&gt;"Approved","Approval not confirmed","Valid")))))))))</f>
        <v/>
      </c>
      <c r="AJ18" s="38" t="str">
        <f>IF(OR(F18="",G18=""),"",MAX(1,ROUND(F18*(1-IFERROR(INDEX(Methodology!$B$41:$B$44,MATCH(J18,Methodology!$A$41:$A$44,0)),0)),0))*G18)</f>
        <v/>
      </c>
      <c r="AK18" s="38" t="str">
        <f t="shared" si="13"/>
        <v/>
      </c>
      <c r="AL18" s="36"/>
    </row>
    <row r="19" spans="1:38" x14ac:dyDescent="0.35">
      <c r="A19" s="35"/>
      <c r="B19" s="24"/>
      <c r="C19" s="24"/>
      <c r="D19" s="35"/>
      <c r="E19" s="35"/>
      <c r="F19" s="36"/>
      <c r="G19" s="36"/>
      <c r="H19" s="37" t="str">
        <f t="shared" si="7"/>
        <v/>
      </c>
      <c r="I19" s="38" t="str">
        <f>IF(NOT(ISNUMBER(H19)),"",INDEX(Methodology!$B$26:$B$29,MATCH(H19,Methodology!$A$26:$A$29,1)))</f>
        <v/>
      </c>
      <c r="J19" s="35"/>
      <c r="K19" s="36"/>
      <c r="L19" s="36"/>
      <c r="M19" s="37" t="str">
        <f t="shared" si="8"/>
        <v/>
      </c>
      <c r="N19" s="37" t="str">
        <f t="shared" si="9"/>
        <v/>
      </c>
      <c r="O19" s="37" t="str">
        <f t="shared" si="10"/>
        <v/>
      </c>
      <c r="P19" s="38" t="str">
        <f>IF(O19="","",INDEX(Methodology!$B$26:$B$29,MATCH(O19,Methodology!$A$26:$A$29,1)))</f>
        <v/>
      </c>
      <c r="Q19" s="36"/>
      <c r="R19" s="37" t="str">
        <f t="shared" si="11"/>
        <v/>
      </c>
      <c r="S19" s="37" t="str">
        <f>IF(D19="","",IFERROR(IF(OR(INDEX(Appetite!$I$6:$I$17,MATCH(D19,Appetite!$A$6:$A$17,0))="OK",INDEX(Appetite!$I$6:$I$17,MATCH(D19,Appetite!$A$6:$A$17,0))="Review overdue - approved"),INDEX(Appetite!$C$6:$C$17,MATCH(D19,Appetite!$A$6:$A$17,0)),""),""))</f>
        <v/>
      </c>
      <c r="T19" s="37" t="str">
        <f>IF(D19="","",IFERROR(IF(OR(INDEX(Appetite!$I$6:$I$17,MATCH(D19,Appetite!$A$6:$A$17,0))="OK",INDEX(Appetite!$I$6:$I$17,MATCH(D19,Appetite!$A$6:$A$17,0))="Review overdue - approved"),INDEX(Appetite!$D$6:$D$17,MATCH(D19,Appetite!$A$6:$A$17,0)),""),""))</f>
        <v/>
      </c>
      <c r="U19" s="38" t="str">
        <f>IF(A19="","",IF(H19="Invalid inherent ratings","Invalid inherent ratings",IF(O19="","Assessment missing",IF(COUNTIF(Appetite!$A$6:$A$17,D19)=0,"Configuration missing",IF(OR(S19="",T19=""),"Configuration: "&amp;INDEX(Appetite!$I$6:$I$17,MATCH(D19,Appetite!$A$6:$A$17,0)),IF(O19&gt;T19,"Tolerance breach",IF(O19&gt;S19,"Appetite breach","Within appetite")))))))</f>
        <v/>
      </c>
      <c r="V19" s="38" t="str">
        <f>IF(A19="","",IF(COUNTIFS('Risk Acceptance Register'!$B$6:$B$105,A19,'Risk Acceptance Register'!$I$6:$I$105,"Approved")&gt;0,"Yes","No"))</f>
        <v/>
      </c>
      <c r="W19" s="38" t="str">
        <f>IF(V19&lt;&gt;"Yes","",IFERROR(IF(COUNTIFS('Risk Acceptance Register'!$B$6:$B$105,A19,'Risk Acceptance Register'!$T$6:$T$105,"Eligible")&gt;0,LOOKUP(2,1/(('Risk Acceptance Register'!$B$6:$B$105=A19)*('Risk Acceptance Register'!$T$6:$T$105="Eligible")),'Risk Acceptance Register'!$J$6:$J$105),LOOKUP(2,1/(('Risk Acceptance Register'!$B$6:$B$105=A19)*('Risk Acceptance Register'!$I$6:$I$105="Approved")),'Risk Acceptance Register'!$J$6:$J$105))&amp;"",""))</f>
        <v/>
      </c>
      <c r="X19" s="39" t="str">
        <f>IF(V19&lt;&gt;"Yes","",IFERROR(IF(IF(COUNTIFS('Risk Acceptance Register'!$B$6:$B$105,A19,'Risk Acceptance Register'!$T$6:$T$105,"Eligible")&gt;0,LOOKUP(2,1/(('Risk Acceptance Register'!$B$6:$B$105=A19)*('Risk Acceptance Register'!$T$6:$T$105="Eligible")),'Risk Acceptance Register'!$M$6:$M$105),LOOKUP(2,1/(('Risk Acceptance Register'!$B$6:$B$105=A19)*('Risk Acceptance Register'!$I$6:$I$105="Approved")),'Risk Acceptance Register'!$M$6:$M$105))=0,"",IF(COUNTIFS('Risk Acceptance Register'!$B$6:$B$105,A19,'Risk Acceptance Register'!$T$6:$T$105,"Eligible")&gt;0,LOOKUP(2,1/(('Risk Acceptance Register'!$B$6:$B$105=A19)*('Risk Acceptance Register'!$T$6:$T$105="Eligible")),'Risk Acceptance Register'!$M$6:$M$105),LOOKUP(2,1/(('Risk Acceptance Register'!$B$6:$B$105=A19)*('Risk Acceptance Register'!$I$6:$I$105="Approved")),'Risk Acceptance Register'!$M$6:$M$105))),""))</f>
        <v/>
      </c>
      <c r="Y19" s="38" t="str">
        <f>IF(A19="","",IF(U19="Within appetite","Within appetite",IF(AND(U19&lt;&gt;"Appetite breach",U19&lt;&gt;"Tolerance breach"),U19,IF(COUNTIFS('Risk Acceptance Register'!$B$6:$B$105,A19,'Risk Acceptance Register'!$T$6:$T$105,"Eligible")&gt;0,"Breach - formally accepted",IF(V19="Yes",IF(X19="","Accepted - expiry not set",IF(X19&lt;Methodology!$B$4,"Acceptance expired - breach open","Breach - not accepted")),"Breach - not accepted")))))</f>
        <v/>
      </c>
      <c r="Z19" s="40"/>
      <c r="AA19" s="38" t="str">
        <f>IF(OR(A19="",Z19=""),"",IF(Z19&lt;Methodology!$B$4,"Overdue","On schedule"))</f>
        <v/>
      </c>
      <c r="AB19" s="38" t="str">
        <f>IF(OR(U19="",U19="Within appetite"),"",MAX(AB$5:AB18)+1)</f>
        <v/>
      </c>
      <c r="AC19" s="38" t="str">
        <f>IF(A19="","",COUNTIF('Treatment Tracker'!$B$6:$B$105,A19)-COUNTIFS('Treatment Tracker'!$B$6:$B$105,A19,'Treatment Tracker'!$H$6:$H$105,"Completed")-COUNTIFS('Treatment Tracker'!$B$6:$B$105,A19,'Treatment Tracker'!$H$6:$H$105,"Cancelled"))</f>
        <v/>
      </c>
      <c r="AD19" s="38" t="str">
        <f t="shared" si="12"/>
        <v/>
      </c>
      <c r="AE19" s="35"/>
      <c r="AF19" s="35"/>
      <c r="AG19" s="40"/>
      <c r="AH19" s="35"/>
      <c r="AI19" s="38" t="str">
        <f>IF(A19="","",IF(OR(K19="",L19=""),"No assessment",IF(OR(NOT(ISNUMBER(K19)),NOT(ISNUMBER(L19))),"Invalid residual ratings",IF(OR(K19&lt;1,K19&gt;5,L19&lt;1,L19&gt;5,INT(K19)&lt;&gt;K19,INT(L19)&lt;&gt;L19),"Invalid residual ratings",IF(OR(AE19="",AF19="",AG19="",AH19=""),"Incomplete evidence",IF(NOT(ISNUMBER(AG19)),"Invalid assessment date",IF(OR(AG19&gt;Methodology!$B$4,AG19&lt;=0),"Invalid assessment date",IF(AG19+Methodology!$B$3&lt;Methodology!$B$4,"Expired",IF(AL19&lt;&gt;"Approved","Approval not confirmed","Valid")))))))))</f>
        <v/>
      </c>
      <c r="AJ19" s="38" t="str">
        <f>IF(OR(F19="",G19=""),"",MAX(1,ROUND(F19*(1-IFERROR(INDEX(Methodology!$B$41:$B$44,MATCH(J19,Methodology!$A$41:$A$44,0)),0)),0))*G19)</f>
        <v/>
      </c>
      <c r="AK19" s="38" t="str">
        <f t="shared" si="13"/>
        <v/>
      </c>
      <c r="AL19" s="36"/>
    </row>
    <row r="20" spans="1:38" x14ac:dyDescent="0.35">
      <c r="A20" s="35"/>
      <c r="B20" s="24"/>
      <c r="C20" s="24"/>
      <c r="D20" s="35"/>
      <c r="E20" s="35"/>
      <c r="F20" s="36"/>
      <c r="G20" s="36"/>
      <c r="H20" s="37" t="str">
        <f t="shared" si="7"/>
        <v/>
      </c>
      <c r="I20" s="38" t="str">
        <f>IF(NOT(ISNUMBER(H20)),"",INDEX(Methodology!$B$26:$B$29,MATCH(H20,Methodology!$A$26:$A$29,1)))</f>
        <v/>
      </c>
      <c r="J20" s="35"/>
      <c r="K20" s="36"/>
      <c r="L20" s="36"/>
      <c r="M20" s="37" t="str">
        <f t="shared" si="8"/>
        <v/>
      </c>
      <c r="N20" s="37" t="str">
        <f t="shared" si="9"/>
        <v/>
      </c>
      <c r="O20" s="37" t="str">
        <f t="shared" si="10"/>
        <v/>
      </c>
      <c r="P20" s="38" t="str">
        <f>IF(O20="","",INDEX(Methodology!$B$26:$B$29,MATCH(O20,Methodology!$A$26:$A$29,1)))</f>
        <v/>
      </c>
      <c r="Q20" s="36"/>
      <c r="R20" s="37" t="str">
        <f t="shared" si="11"/>
        <v/>
      </c>
      <c r="S20" s="37" t="str">
        <f>IF(D20="","",IFERROR(IF(OR(INDEX(Appetite!$I$6:$I$17,MATCH(D20,Appetite!$A$6:$A$17,0))="OK",INDEX(Appetite!$I$6:$I$17,MATCH(D20,Appetite!$A$6:$A$17,0))="Review overdue - approved"),INDEX(Appetite!$C$6:$C$17,MATCH(D20,Appetite!$A$6:$A$17,0)),""),""))</f>
        <v/>
      </c>
      <c r="T20" s="37" t="str">
        <f>IF(D20="","",IFERROR(IF(OR(INDEX(Appetite!$I$6:$I$17,MATCH(D20,Appetite!$A$6:$A$17,0))="OK",INDEX(Appetite!$I$6:$I$17,MATCH(D20,Appetite!$A$6:$A$17,0))="Review overdue - approved"),INDEX(Appetite!$D$6:$D$17,MATCH(D20,Appetite!$A$6:$A$17,0)),""),""))</f>
        <v/>
      </c>
      <c r="U20" s="38" t="str">
        <f>IF(A20="","",IF(H20="Invalid inherent ratings","Invalid inherent ratings",IF(O20="","Assessment missing",IF(COUNTIF(Appetite!$A$6:$A$17,D20)=0,"Configuration missing",IF(OR(S20="",T20=""),"Configuration: "&amp;INDEX(Appetite!$I$6:$I$17,MATCH(D20,Appetite!$A$6:$A$17,0)),IF(O20&gt;T20,"Tolerance breach",IF(O20&gt;S20,"Appetite breach","Within appetite")))))))</f>
        <v/>
      </c>
      <c r="V20" s="38" t="str">
        <f>IF(A20="","",IF(COUNTIFS('Risk Acceptance Register'!$B$6:$B$105,A20,'Risk Acceptance Register'!$I$6:$I$105,"Approved")&gt;0,"Yes","No"))</f>
        <v/>
      </c>
      <c r="W20" s="38" t="str">
        <f>IF(V20&lt;&gt;"Yes","",IFERROR(IF(COUNTIFS('Risk Acceptance Register'!$B$6:$B$105,A20,'Risk Acceptance Register'!$T$6:$T$105,"Eligible")&gt;0,LOOKUP(2,1/(('Risk Acceptance Register'!$B$6:$B$105=A20)*('Risk Acceptance Register'!$T$6:$T$105="Eligible")),'Risk Acceptance Register'!$J$6:$J$105),LOOKUP(2,1/(('Risk Acceptance Register'!$B$6:$B$105=A20)*('Risk Acceptance Register'!$I$6:$I$105="Approved")),'Risk Acceptance Register'!$J$6:$J$105))&amp;"",""))</f>
        <v/>
      </c>
      <c r="X20" s="39" t="str">
        <f>IF(V20&lt;&gt;"Yes","",IFERROR(IF(IF(COUNTIFS('Risk Acceptance Register'!$B$6:$B$105,A20,'Risk Acceptance Register'!$T$6:$T$105,"Eligible")&gt;0,LOOKUP(2,1/(('Risk Acceptance Register'!$B$6:$B$105=A20)*('Risk Acceptance Register'!$T$6:$T$105="Eligible")),'Risk Acceptance Register'!$M$6:$M$105),LOOKUP(2,1/(('Risk Acceptance Register'!$B$6:$B$105=A20)*('Risk Acceptance Register'!$I$6:$I$105="Approved")),'Risk Acceptance Register'!$M$6:$M$105))=0,"",IF(COUNTIFS('Risk Acceptance Register'!$B$6:$B$105,A20,'Risk Acceptance Register'!$T$6:$T$105,"Eligible")&gt;0,LOOKUP(2,1/(('Risk Acceptance Register'!$B$6:$B$105=A20)*('Risk Acceptance Register'!$T$6:$T$105="Eligible")),'Risk Acceptance Register'!$M$6:$M$105),LOOKUP(2,1/(('Risk Acceptance Register'!$B$6:$B$105=A20)*('Risk Acceptance Register'!$I$6:$I$105="Approved")),'Risk Acceptance Register'!$M$6:$M$105))),""))</f>
        <v/>
      </c>
      <c r="Y20" s="38" t="str">
        <f>IF(A20="","",IF(U20="Within appetite","Within appetite",IF(AND(U20&lt;&gt;"Appetite breach",U20&lt;&gt;"Tolerance breach"),U20,IF(COUNTIFS('Risk Acceptance Register'!$B$6:$B$105,A20,'Risk Acceptance Register'!$T$6:$T$105,"Eligible")&gt;0,"Breach - formally accepted",IF(V20="Yes",IF(X20="","Accepted - expiry not set",IF(X20&lt;Methodology!$B$4,"Acceptance expired - breach open","Breach - not accepted")),"Breach - not accepted")))))</f>
        <v/>
      </c>
      <c r="Z20" s="40"/>
      <c r="AA20" s="38" t="str">
        <f>IF(OR(A20="",Z20=""),"",IF(Z20&lt;Methodology!$B$4,"Overdue","On schedule"))</f>
        <v/>
      </c>
      <c r="AB20" s="38" t="str">
        <f>IF(OR(U20="",U20="Within appetite"),"",MAX(AB$5:AB19)+1)</f>
        <v/>
      </c>
      <c r="AC20" s="38" t="str">
        <f>IF(A20="","",COUNTIF('Treatment Tracker'!$B$6:$B$105,A20)-COUNTIFS('Treatment Tracker'!$B$6:$B$105,A20,'Treatment Tracker'!$H$6:$H$105,"Completed")-COUNTIFS('Treatment Tracker'!$B$6:$B$105,A20,'Treatment Tracker'!$H$6:$H$105,"Cancelled"))</f>
        <v/>
      </c>
      <c r="AD20" s="38" t="str">
        <f t="shared" si="12"/>
        <v/>
      </c>
      <c r="AE20" s="35"/>
      <c r="AF20" s="35"/>
      <c r="AG20" s="40"/>
      <c r="AH20" s="35"/>
      <c r="AI20" s="38" t="str">
        <f>IF(A20="","",IF(OR(K20="",L20=""),"No assessment",IF(OR(NOT(ISNUMBER(K20)),NOT(ISNUMBER(L20))),"Invalid residual ratings",IF(OR(K20&lt;1,K20&gt;5,L20&lt;1,L20&gt;5,INT(K20)&lt;&gt;K20,INT(L20)&lt;&gt;L20),"Invalid residual ratings",IF(OR(AE20="",AF20="",AG20="",AH20=""),"Incomplete evidence",IF(NOT(ISNUMBER(AG20)),"Invalid assessment date",IF(OR(AG20&gt;Methodology!$B$4,AG20&lt;=0),"Invalid assessment date",IF(AG20+Methodology!$B$3&lt;Methodology!$B$4,"Expired",IF(AL20&lt;&gt;"Approved","Approval not confirmed","Valid")))))))))</f>
        <v/>
      </c>
      <c r="AJ20" s="38" t="str">
        <f>IF(OR(F20="",G20=""),"",MAX(1,ROUND(F20*(1-IFERROR(INDEX(Methodology!$B$41:$B$44,MATCH(J20,Methodology!$A$41:$A$44,0)),0)),0))*G20)</f>
        <v/>
      </c>
      <c r="AK20" s="38" t="str">
        <f t="shared" si="13"/>
        <v/>
      </c>
      <c r="AL20" s="36"/>
    </row>
    <row r="21" spans="1:38" x14ac:dyDescent="0.35">
      <c r="A21" s="35"/>
      <c r="B21" s="24"/>
      <c r="C21" s="24"/>
      <c r="D21" s="35"/>
      <c r="E21" s="35"/>
      <c r="F21" s="36"/>
      <c r="G21" s="36"/>
      <c r="H21" s="37" t="str">
        <f t="shared" si="7"/>
        <v/>
      </c>
      <c r="I21" s="38" t="str">
        <f>IF(NOT(ISNUMBER(H21)),"",INDEX(Methodology!$B$26:$B$29,MATCH(H21,Methodology!$A$26:$A$29,1)))</f>
        <v/>
      </c>
      <c r="J21" s="35"/>
      <c r="K21" s="36"/>
      <c r="L21" s="36"/>
      <c r="M21" s="37" t="str">
        <f t="shared" si="8"/>
        <v/>
      </c>
      <c r="N21" s="37" t="str">
        <f t="shared" si="9"/>
        <v/>
      </c>
      <c r="O21" s="37" t="str">
        <f t="shared" si="10"/>
        <v/>
      </c>
      <c r="P21" s="38" t="str">
        <f>IF(O21="","",INDEX(Methodology!$B$26:$B$29,MATCH(O21,Methodology!$A$26:$A$29,1)))</f>
        <v/>
      </c>
      <c r="Q21" s="36"/>
      <c r="R21" s="37" t="str">
        <f t="shared" si="11"/>
        <v/>
      </c>
      <c r="S21" s="37" t="str">
        <f>IF(D21="","",IFERROR(IF(OR(INDEX(Appetite!$I$6:$I$17,MATCH(D21,Appetite!$A$6:$A$17,0))="OK",INDEX(Appetite!$I$6:$I$17,MATCH(D21,Appetite!$A$6:$A$17,0))="Review overdue - approved"),INDEX(Appetite!$C$6:$C$17,MATCH(D21,Appetite!$A$6:$A$17,0)),""),""))</f>
        <v/>
      </c>
      <c r="T21" s="37" t="str">
        <f>IF(D21="","",IFERROR(IF(OR(INDEX(Appetite!$I$6:$I$17,MATCH(D21,Appetite!$A$6:$A$17,0))="OK",INDEX(Appetite!$I$6:$I$17,MATCH(D21,Appetite!$A$6:$A$17,0))="Review overdue - approved"),INDEX(Appetite!$D$6:$D$17,MATCH(D21,Appetite!$A$6:$A$17,0)),""),""))</f>
        <v/>
      </c>
      <c r="U21" s="38" t="str">
        <f>IF(A21="","",IF(H21="Invalid inherent ratings","Invalid inherent ratings",IF(O21="","Assessment missing",IF(COUNTIF(Appetite!$A$6:$A$17,D21)=0,"Configuration missing",IF(OR(S21="",T21=""),"Configuration: "&amp;INDEX(Appetite!$I$6:$I$17,MATCH(D21,Appetite!$A$6:$A$17,0)),IF(O21&gt;T21,"Tolerance breach",IF(O21&gt;S21,"Appetite breach","Within appetite")))))))</f>
        <v/>
      </c>
      <c r="V21" s="38" t="str">
        <f>IF(A21="","",IF(COUNTIFS('Risk Acceptance Register'!$B$6:$B$105,A21,'Risk Acceptance Register'!$I$6:$I$105,"Approved")&gt;0,"Yes","No"))</f>
        <v/>
      </c>
      <c r="W21" s="38" t="str">
        <f>IF(V21&lt;&gt;"Yes","",IFERROR(IF(COUNTIFS('Risk Acceptance Register'!$B$6:$B$105,A21,'Risk Acceptance Register'!$T$6:$T$105,"Eligible")&gt;0,LOOKUP(2,1/(('Risk Acceptance Register'!$B$6:$B$105=A21)*('Risk Acceptance Register'!$T$6:$T$105="Eligible")),'Risk Acceptance Register'!$J$6:$J$105),LOOKUP(2,1/(('Risk Acceptance Register'!$B$6:$B$105=A21)*('Risk Acceptance Register'!$I$6:$I$105="Approved")),'Risk Acceptance Register'!$J$6:$J$105))&amp;"",""))</f>
        <v/>
      </c>
      <c r="X21" s="39" t="str">
        <f>IF(V21&lt;&gt;"Yes","",IFERROR(IF(IF(COUNTIFS('Risk Acceptance Register'!$B$6:$B$105,A21,'Risk Acceptance Register'!$T$6:$T$105,"Eligible")&gt;0,LOOKUP(2,1/(('Risk Acceptance Register'!$B$6:$B$105=A21)*('Risk Acceptance Register'!$T$6:$T$105="Eligible")),'Risk Acceptance Register'!$M$6:$M$105),LOOKUP(2,1/(('Risk Acceptance Register'!$B$6:$B$105=A21)*('Risk Acceptance Register'!$I$6:$I$105="Approved")),'Risk Acceptance Register'!$M$6:$M$105))=0,"",IF(COUNTIFS('Risk Acceptance Register'!$B$6:$B$105,A21,'Risk Acceptance Register'!$T$6:$T$105,"Eligible")&gt;0,LOOKUP(2,1/(('Risk Acceptance Register'!$B$6:$B$105=A21)*('Risk Acceptance Register'!$T$6:$T$105="Eligible")),'Risk Acceptance Register'!$M$6:$M$105),LOOKUP(2,1/(('Risk Acceptance Register'!$B$6:$B$105=A21)*('Risk Acceptance Register'!$I$6:$I$105="Approved")),'Risk Acceptance Register'!$M$6:$M$105))),""))</f>
        <v/>
      </c>
      <c r="Y21" s="38" t="str">
        <f>IF(A21="","",IF(U21="Within appetite","Within appetite",IF(AND(U21&lt;&gt;"Appetite breach",U21&lt;&gt;"Tolerance breach"),U21,IF(COUNTIFS('Risk Acceptance Register'!$B$6:$B$105,A21,'Risk Acceptance Register'!$T$6:$T$105,"Eligible")&gt;0,"Breach - formally accepted",IF(V21="Yes",IF(X21="","Accepted - expiry not set",IF(X21&lt;Methodology!$B$4,"Acceptance expired - breach open","Breach - not accepted")),"Breach - not accepted")))))</f>
        <v/>
      </c>
      <c r="Z21" s="40"/>
      <c r="AA21" s="38" t="str">
        <f>IF(OR(A21="",Z21=""),"",IF(Z21&lt;Methodology!$B$4,"Overdue","On schedule"))</f>
        <v/>
      </c>
      <c r="AB21" s="38" t="str">
        <f>IF(OR(U21="",U21="Within appetite"),"",MAX(AB$5:AB20)+1)</f>
        <v/>
      </c>
      <c r="AC21" s="38" t="str">
        <f>IF(A21="","",COUNTIF('Treatment Tracker'!$B$6:$B$105,A21)-COUNTIFS('Treatment Tracker'!$B$6:$B$105,A21,'Treatment Tracker'!$H$6:$H$105,"Completed")-COUNTIFS('Treatment Tracker'!$B$6:$B$105,A21,'Treatment Tracker'!$H$6:$H$105,"Cancelled"))</f>
        <v/>
      </c>
      <c r="AD21" s="38" t="str">
        <f t="shared" si="12"/>
        <v/>
      </c>
      <c r="AE21" s="35"/>
      <c r="AF21" s="35"/>
      <c r="AG21" s="40"/>
      <c r="AH21" s="35"/>
      <c r="AI21" s="38" t="str">
        <f>IF(A21="","",IF(OR(K21="",L21=""),"No assessment",IF(OR(NOT(ISNUMBER(K21)),NOT(ISNUMBER(L21))),"Invalid residual ratings",IF(OR(K21&lt;1,K21&gt;5,L21&lt;1,L21&gt;5,INT(K21)&lt;&gt;K21,INT(L21)&lt;&gt;L21),"Invalid residual ratings",IF(OR(AE21="",AF21="",AG21="",AH21=""),"Incomplete evidence",IF(NOT(ISNUMBER(AG21)),"Invalid assessment date",IF(OR(AG21&gt;Methodology!$B$4,AG21&lt;=0),"Invalid assessment date",IF(AG21+Methodology!$B$3&lt;Methodology!$B$4,"Expired",IF(AL21&lt;&gt;"Approved","Approval not confirmed","Valid")))))))))</f>
        <v/>
      </c>
      <c r="AJ21" s="38" t="str">
        <f>IF(OR(F21="",G21=""),"",MAX(1,ROUND(F21*(1-IFERROR(INDEX(Methodology!$B$41:$B$44,MATCH(J21,Methodology!$A$41:$A$44,0)),0)),0))*G21)</f>
        <v/>
      </c>
      <c r="AK21" s="38" t="str">
        <f t="shared" si="13"/>
        <v/>
      </c>
      <c r="AL21" s="36"/>
    </row>
    <row r="22" spans="1:38" x14ac:dyDescent="0.35">
      <c r="A22" s="35"/>
      <c r="B22" s="24"/>
      <c r="C22" s="24"/>
      <c r="D22" s="35"/>
      <c r="E22" s="35"/>
      <c r="F22" s="36"/>
      <c r="G22" s="36"/>
      <c r="H22" s="37" t="str">
        <f t="shared" si="7"/>
        <v/>
      </c>
      <c r="I22" s="38" t="str">
        <f>IF(NOT(ISNUMBER(H22)),"",INDEX(Methodology!$B$26:$B$29,MATCH(H22,Methodology!$A$26:$A$29,1)))</f>
        <v/>
      </c>
      <c r="J22" s="35"/>
      <c r="K22" s="36"/>
      <c r="L22" s="36"/>
      <c r="M22" s="37" t="str">
        <f t="shared" si="8"/>
        <v/>
      </c>
      <c r="N22" s="37" t="str">
        <f t="shared" si="9"/>
        <v/>
      </c>
      <c r="O22" s="37" t="str">
        <f t="shared" si="10"/>
        <v/>
      </c>
      <c r="P22" s="38" t="str">
        <f>IF(O22="","",INDEX(Methodology!$B$26:$B$29,MATCH(O22,Methodology!$A$26:$A$29,1)))</f>
        <v/>
      </c>
      <c r="Q22" s="36"/>
      <c r="R22" s="37" t="str">
        <f t="shared" si="11"/>
        <v/>
      </c>
      <c r="S22" s="37" t="str">
        <f>IF(D22="","",IFERROR(IF(OR(INDEX(Appetite!$I$6:$I$17,MATCH(D22,Appetite!$A$6:$A$17,0))="OK",INDEX(Appetite!$I$6:$I$17,MATCH(D22,Appetite!$A$6:$A$17,0))="Review overdue - approved"),INDEX(Appetite!$C$6:$C$17,MATCH(D22,Appetite!$A$6:$A$17,0)),""),""))</f>
        <v/>
      </c>
      <c r="T22" s="37" t="str">
        <f>IF(D22="","",IFERROR(IF(OR(INDEX(Appetite!$I$6:$I$17,MATCH(D22,Appetite!$A$6:$A$17,0))="OK",INDEX(Appetite!$I$6:$I$17,MATCH(D22,Appetite!$A$6:$A$17,0))="Review overdue - approved"),INDEX(Appetite!$D$6:$D$17,MATCH(D22,Appetite!$A$6:$A$17,0)),""),""))</f>
        <v/>
      </c>
      <c r="U22" s="38" t="str">
        <f>IF(A22="","",IF(H22="Invalid inherent ratings","Invalid inherent ratings",IF(O22="","Assessment missing",IF(COUNTIF(Appetite!$A$6:$A$17,D22)=0,"Configuration missing",IF(OR(S22="",T22=""),"Configuration: "&amp;INDEX(Appetite!$I$6:$I$17,MATCH(D22,Appetite!$A$6:$A$17,0)),IF(O22&gt;T22,"Tolerance breach",IF(O22&gt;S22,"Appetite breach","Within appetite")))))))</f>
        <v/>
      </c>
      <c r="V22" s="38" t="str">
        <f>IF(A22="","",IF(COUNTIFS('Risk Acceptance Register'!$B$6:$B$105,A22,'Risk Acceptance Register'!$I$6:$I$105,"Approved")&gt;0,"Yes","No"))</f>
        <v/>
      </c>
      <c r="W22" s="38" t="str">
        <f>IF(V22&lt;&gt;"Yes","",IFERROR(IF(COUNTIFS('Risk Acceptance Register'!$B$6:$B$105,A22,'Risk Acceptance Register'!$T$6:$T$105,"Eligible")&gt;0,LOOKUP(2,1/(('Risk Acceptance Register'!$B$6:$B$105=A22)*('Risk Acceptance Register'!$T$6:$T$105="Eligible")),'Risk Acceptance Register'!$J$6:$J$105),LOOKUP(2,1/(('Risk Acceptance Register'!$B$6:$B$105=A22)*('Risk Acceptance Register'!$I$6:$I$105="Approved")),'Risk Acceptance Register'!$J$6:$J$105))&amp;"",""))</f>
        <v/>
      </c>
      <c r="X22" s="39" t="str">
        <f>IF(V22&lt;&gt;"Yes","",IFERROR(IF(IF(COUNTIFS('Risk Acceptance Register'!$B$6:$B$105,A22,'Risk Acceptance Register'!$T$6:$T$105,"Eligible")&gt;0,LOOKUP(2,1/(('Risk Acceptance Register'!$B$6:$B$105=A22)*('Risk Acceptance Register'!$T$6:$T$105="Eligible")),'Risk Acceptance Register'!$M$6:$M$105),LOOKUP(2,1/(('Risk Acceptance Register'!$B$6:$B$105=A22)*('Risk Acceptance Register'!$I$6:$I$105="Approved")),'Risk Acceptance Register'!$M$6:$M$105))=0,"",IF(COUNTIFS('Risk Acceptance Register'!$B$6:$B$105,A22,'Risk Acceptance Register'!$T$6:$T$105,"Eligible")&gt;0,LOOKUP(2,1/(('Risk Acceptance Register'!$B$6:$B$105=A22)*('Risk Acceptance Register'!$T$6:$T$105="Eligible")),'Risk Acceptance Register'!$M$6:$M$105),LOOKUP(2,1/(('Risk Acceptance Register'!$B$6:$B$105=A22)*('Risk Acceptance Register'!$I$6:$I$105="Approved")),'Risk Acceptance Register'!$M$6:$M$105))),""))</f>
        <v/>
      </c>
      <c r="Y22" s="38" t="str">
        <f>IF(A22="","",IF(U22="Within appetite","Within appetite",IF(AND(U22&lt;&gt;"Appetite breach",U22&lt;&gt;"Tolerance breach"),U22,IF(COUNTIFS('Risk Acceptance Register'!$B$6:$B$105,A22,'Risk Acceptance Register'!$T$6:$T$105,"Eligible")&gt;0,"Breach - formally accepted",IF(V22="Yes",IF(X22="","Accepted - expiry not set",IF(X22&lt;Methodology!$B$4,"Acceptance expired - breach open","Breach - not accepted")),"Breach - not accepted")))))</f>
        <v/>
      </c>
      <c r="Z22" s="40"/>
      <c r="AA22" s="38" t="str">
        <f>IF(OR(A22="",Z22=""),"",IF(Z22&lt;Methodology!$B$4,"Overdue","On schedule"))</f>
        <v/>
      </c>
      <c r="AB22" s="38" t="str">
        <f>IF(OR(U22="",U22="Within appetite"),"",MAX(AB$5:AB21)+1)</f>
        <v/>
      </c>
      <c r="AC22" s="38" t="str">
        <f>IF(A22="","",COUNTIF('Treatment Tracker'!$B$6:$B$105,A22)-COUNTIFS('Treatment Tracker'!$B$6:$B$105,A22,'Treatment Tracker'!$H$6:$H$105,"Completed")-COUNTIFS('Treatment Tracker'!$B$6:$B$105,A22,'Treatment Tracker'!$H$6:$H$105,"Cancelled"))</f>
        <v/>
      </c>
      <c r="AD22" s="38" t="str">
        <f t="shared" si="12"/>
        <v/>
      </c>
      <c r="AE22" s="35"/>
      <c r="AF22" s="35"/>
      <c r="AG22" s="40"/>
      <c r="AH22" s="35"/>
      <c r="AI22" s="38" t="str">
        <f>IF(A22="","",IF(OR(K22="",L22=""),"No assessment",IF(OR(NOT(ISNUMBER(K22)),NOT(ISNUMBER(L22))),"Invalid residual ratings",IF(OR(K22&lt;1,K22&gt;5,L22&lt;1,L22&gt;5,INT(K22)&lt;&gt;K22,INT(L22)&lt;&gt;L22),"Invalid residual ratings",IF(OR(AE22="",AF22="",AG22="",AH22=""),"Incomplete evidence",IF(NOT(ISNUMBER(AG22)),"Invalid assessment date",IF(OR(AG22&gt;Methodology!$B$4,AG22&lt;=0),"Invalid assessment date",IF(AG22+Methodology!$B$3&lt;Methodology!$B$4,"Expired",IF(AL22&lt;&gt;"Approved","Approval not confirmed","Valid")))))))))</f>
        <v/>
      </c>
      <c r="AJ22" s="38" t="str">
        <f>IF(OR(F22="",G22=""),"",MAX(1,ROUND(F22*(1-IFERROR(INDEX(Methodology!$B$41:$B$44,MATCH(J22,Methodology!$A$41:$A$44,0)),0)),0))*G22)</f>
        <v/>
      </c>
      <c r="AK22" s="38" t="str">
        <f t="shared" si="13"/>
        <v/>
      </c>
      <c r="AL22" s="36"/>
    </row>
    <row r="23" spans="1:38" x14ac:dyDescent="0.35">
      <c r="A23" s="35"/>
      <c r="B23" s="24"/>
      <c r="C23" s="24"/>
      <c r="D23" s="35"/>
      <c r="E23" s="35"/>
      <c r="F23" s="36"/>
      <c r="G23" s="36"/>
      <c r="H23" s="37" t="str">
        <f t="shared" si="7"/>
        <v/>
      </c>
      <c r="I23" s="38" t="str">
        <f>IF(NOT(ISNUMBER(H23)),"",INDEX(Methodology!$B$26:$B$29,MATCH(H23,Methodology!$A$26:$A$29,1)))</f>
        <v/>
      </c>
      <c r="J23" s="35"/>
      <c r="K23" s="36"/>
      <c r="L23" s="36"/>
      <c r="M23" s="37" t="str">
        <f t="shared" si="8"/>
        <v/>
      </c>
      <c r="N23" s="37" t="str">
        <f t="shared" si="9"/>
        <v/>
      </c>
      <c r="O23" s="37" t="str">
        <f t="shared" si="10"/>
        <v/>
      </c>
      <c r="P23" s="38" t="str">
        <f>IF(O23="","",INDEX(Methodology!$B$26:$B$29,MATCH(O23,Methodology!$A$26:$A$29,1)))</f>
        <v/>
      </c>
      <c r="Q23" s="36"/>
      <c r="R23" s="37" t="str">
        <f t="shared" si="11"/>
        <v/>
      </c>
      <c r="S23" s="37" t="str">
        <f>IF(D23="","",IFERROR(IF(OR(INDEX(Appetite!$I$6:$I$17,MATCH(D23,Appetite!$A$6:$A$17,0))="OK",INDEX(Appetite!$I$6:$I$17,MATCH(D23,Appetite!$A$6:$A$17,0))="Review overdue - approved"),INDEX(Appetite!$C$6:$C$17,MATCH(D23,Appetite!$A$6:$A$17,0)),""),""))</f>
        <v/>
      </c>
      <c r="T23" s="37" t="str">
        <f>IF(D23="","",IFERROR(IF(OR(INDEX(Appetite!$I$6:$I$17,MATCH(D23,Appetite!$A$6:$A$17,0))="OK",INDEX(Appetite!$I$6:$I$17,MATCH(D23,Appetite!$A$6:$A$17,0))="Review overdue - approved"),INDEX(Appetite!$D$6:$D$17,MATCH(D23,Appetite!$A$6:$A$17,0)),""),""))</f>
        <v/>
      </c>
      <c r="U23" s="38" t="str">
        <f>IF(A23="","",IF(H23="Invalid inherent ratings","Invalid inherent ratings",IF(O23="","Assessment missing",IF(COUNTIF(Appetite!$A$6:$A$17,D23)=0,"Configuration missing",IF(OR(S23="",T23=""),"Configuration: "&amp;INDEX(Appetite!$I$6:$I$17,MATCH(D23,Appetite!$A$6:$A$17,0)),IF(O23&gt;T23,"Tolerance breach",IF(O23&gt;S23,"Appetite breach","Within appetite")))))))</f>
        <v/>
      </c>
      <c r="V23" s="38" t="str">
        <f>IF(A23="","",IF(COUNTIFS('Risk Acceptance Register'!$B$6:$B$105,A23,'Risk Acceptance Register'!$I$6:$I$105,"Approved")&gt;0,"Yes","No"))</f>
        <v/>
      </c>
      <c r="W23" s="38" t="str">
        <f>IF(V23&lt;&gt;"Yes","",IFERROR(IF(COUNTIFS('Risk Acceptance Register'!$B$6:$B$105,A23,'Risk Acceptance Register'!$T$6:$T$105,"Eligible")&gt;0,LOOKUP(2,1/(('Risk Acceptance Register'!$B$6:$B$105=A23)*('Risk Acceptance Register'!$T$6:$T$105="Eligible")),'Risk Acceptance Register'!$J$6:$J$105),LOOKUP(2,1/(('Risk Acceptance Register'!$B$6:$B$105=A23)*('Risk Acceptance Register'!$I$6:$I$105="Approved")),'Risk Acceptance Register'!$J$6:$J$105))&amp;"",""))</f>
        <v/>
      </c>
      <c r="X23" s="39" t="str">
        <f>IF(V23&lt;&gt;"Yes","",IFERROR(IF(IF(COUNTIFS('Risk Acceptance Register'!$B$6:$B$105,A23,'Risk Acceptance Register'!$T$6:$T$105,"Eligible")&gt;0,LOOKUP(2,1/(('Risk Acceptance Register'!$B$6:$B$105=A23)*('Risk Acceptance Register'!$T$6:$T$105="Eligible")),'Risk Acceptance Register'!$M$6:$M$105),LOOKUP(2,1/(('Risk Acceptance Register'!$B$6:$B$105=A23)*('Risk Acceptance Register'!$I$6:$I$105="Approved")),'Risk Acceptance Register'!$M$6:$M$105))=0,"",IF(COUNTIFS('Risk Acceptance Register'!$B$6:$B$105,A23,'Risk Acceptance Register'!$T$6:$T$105,"Eligible")&gt;0,LOOKUP(2,1/(('Risk Acceptance Register'!$B$6:$B$105=A23)*('Risk Acceptance Register'!$T$6:$T$105="Eligible")),'Risk Acceptance Register'!$M$6:$M$105),LOOKUP(2,1/(('Risk Acceptance Register'!$B$6:$B$105=A23)*('Risk Acceptance Register'!$I$6:$I$105="Approved")),'Risk Acceptance Register'!$M$6:$M$105))),""))</f>
        <v/>
      </c>
      <c r="Y23" s="38" t="str">
        <f>IF(A23="","",IF(U23="Within appetite","Within appetite",IF(AND(U23&lt;&gt;"Appetite breach",U23&lt;&gt;"Tolerance breach"),U23,IF(COUNTIFS('Risk Acceptance Register'!$B$6:$B$105,A23,'Risk Acceptance Register'!$T$6:$T$105,"Eligible")&gt;0,"Breach - formally accepted",IF(V23="Yes",IF(X23="","Accepted - expiry not set",IF(X23&lt;Methodology!$B$4,"Acceptance expired - breach open","Breach - not accepted")),"Breach - not accepted")))))</f>
        <v/>
      </c>
      <c r="Z23" s="40"/>
      <c r="AA23" s="38" t="str">
        <f>IF(OR(A23="",Z23=""),"",IF(Z23&lt;Methodology!$B$4,"Overdue","On schedule"))</f>
        <v/>
      </c>
      <c r="AB23" s="38" t="str">
        <f>IF(OR(U23="",U23="Within appetite"),"",MAX(AB$5:AB22)+1)</f>
        <v/>
      </c>
      <c r="AC23" s="38" t="str">
        <f>IF(A23="","",COUNTIF('Treatment Tracker'!$B$6:$B$105,A23)-COUNTIFS('Treatment Tracker'!$B$6:$B$105,A23,'Treatment Tracker'!$H$6:$H$105,"Completed")-COUNTIFS('Treatment Tracker'!$B$6:$B$105,A23,'Treatment Tracker'!$H$6:$H$105,"Cancelled"))</f>
        <v/>
      </c>
      <c r="AD23" s="38" t="str">
        <f t="shared" si="12"/>
        <v/>
      </c>
      <c r="AE23" s="35"/>
      <c r="AF23" s="35"/>
      <c r="AG23" s="40"/>
      <c r="AH23" s="35"/>
      <c r="AI23" s="38" t="str">
        <f>IF(A23="","",IF(OR(K23="",L23=""),"No assessment",IF(OR(NOT(ISNUMBER(K23)),NOT(ISNUMBER(L23))),"Invalid residual ratings",IF(OR(K23&lt;1,K23&gt;5,L23&lt;1,L23&gt;5,INT(K23)&lt;&gt;K23,INT(L23)&lt;&gt;L23),"Invalid residual ratings",IF(OR(AE23="",AF23="",AG23="",AH23=""),"Incomplete evidence",IF(NOT(ISNUMBER(AG23)),"Invalid assessment date",IF(OR(AG23&gt;Methodology!$B$4,AG23&lt;=0),"Invalid assessment date",IF(AG23+Methodology!$B$3&lt;Methodology!$B$4,"Expired",IF(AL23&lt;&gt;"Approved","Approval not confirmed","Valid")))))))))</f>
        <v/>
      </c>
      <c r="AJ23" s="38" t="str">
        <f>IF(OR(F23="",G23=""),"",MAX(1,ROUND(F23*(1-IFERROR(INDEX(Methodology!$B$41:$B$44,MATCH(J23,Methodology!$A$41:$A$44,0)),0)),0))*G23)</f>
        <v/>
      </c>
      <c r="AK23" s="38" t="str">
        <f t="shared" si="13"/>
        <v/>
      </c>
      <c r="AL23" s="36"/>
    </row>
    <row r="24" spans="1:38" x14ac:dyDescent="0.35">
      <c r="A24" s="35"/>
      <c r="B24" s="24"/>
      <c r="C24" s="24"/>
      <c r="D24" s="35"/>
      <c r="E24" s="35"/>
      <c r="F24" s="36"/>
      <c r="G24" s="36"/>
      <c r="H24" s="37" t="str">
        <f t="shared" si="7"/>
        <v/>
      </c>
      <c r="I24" s="38" t="str">
        <f>IF(NOT(ISNUMBER(H24)),"",INDEX(Methodology!$B$26:$B$29,MATCH(H24,Methodology!$A$26:$A$29,1)))</f>
        <v/>
      </c>
      <c r="J24" s="35"/>
      <c r="K24" s="36"/>
      <c r="L24" s="36"/>
      <c r="M24" s="37" t="str">
        <f t="shared" si="8"/>
        <v/>
      </c>
      <c r="N24" s="37" t="str">
        <f t="shared" si="9"/>
        <v/>
      </c>
      <c r="O24" s="37" t="str">
        <f t="shared" si="10"/>
        <v/>
      </c>
      <c r="P24" s="38" t="str">
        <f>IF(O24="","",INDEX(Methodology!$B$26:$B$29,MATCH(O24,Methodology!$A$26:$A$29,1)))</f>
        <v/>
      </c>
      <c r="Q24" s="36"/>
      <c r="R24" s="37" t="str">
        <f t="shared" si="11"/>
        <v/>
      </c>
      <c r="S24" s="37" t="str">
        <f>IF(D24="","",IFERROR(IF(OR(INDEX(Appetite!$I$6:$I$17,MATCH(D24,Appetite!$A$6:$A$17,0))="OK",INDEX(Appetite!$I$6:$I$17,MATCH(D24,Appetite!$A$6:$A$17,0))="Review overdue - approved"),INDEX(Appetite!$C$6:$C$17,MATCH(D24,Appetite!$A$6:$A$17,0)),""),""))</f>
        <v/>
      </c>
      <c r="T24" s="37" t="str">
        <f>IF(D24="","",IFERROR(IF(OR(INDEX(Appetite!$I$6:$I$17,MATCH(D24,Appetite!$A$6:$A$17,0))="OK",INDEX(Appetite!$I$6:$I$17,MATCH(D24,Appetite!$A$6:$A$17,0))="Review overdue - approved"),INDEX(Appetite!$D$6:$D$17,MATCH(D24,Appetite!$A$6:$A$17,0)),""),""))</f>
        <v/>
      </c>
      <c r="U24" s="38" t="str">
        <f>IF(A24="","",IF(H24="Invalid inherent ratings","Invalid inherent ratings",IF(O24="","Assessment missing",IF(COUNTIF(Appetite!$A$6:$A$17,D24)=0,"Configuration missing",IF(OR(S24="",T24=""),"Configuration: "&amp;INDEX(Appetite!$I$6:$I$17,MATCH(D24,Appetite!$A$6:$A$17,0)),IF(O24&gt;T24,"Tolerance breach",IF(O24&gt;S24,"Appetite breach","Within appetite")))))))</f>
        <v/>
      </c>
      <c r="V24" s="38" t="str">
        <f>IF(A24="","",IF(COUNTIFS('Risk Acceptance Register'!$B$6:$B$105,A24,'Risk Acceptance Register'!$I$6:$I$105,"Approved")&gt;0,"Yes","No"))</f>
        <v/>
      </c>
      <c r="W24" s="38" t="str">
        <f>IF(V24&lt;&gt;"Yes","",IFERROR(IF(COUNTIFS('Risk Acceptance Register'!$B$6:$B$105,A24,'Risk Acceptance Register'!$T$6:$T$105,"Eligible")&gt;0,LOOKUP(2,1/(('Risk Acceptance Register'!$B$6:$B$105=A24)*('Risk Acceptance Register'!$T$6:$T$105="Eligible")),'Risk Acceptance Register'!$J$6:$J$105),LOOKUP(2,1/(('Risk Acceptance Register'!$B$6:$B$105=A24)*('Risk Acceptance Register'!$I$6:$I$105="Approved")),'Risk Acceptance Register'!$J$6:$J$105))&amp;"",""))</f>
        <v/>
      </c>
      <c r="X24" s="39" t="str">
        <f>IF(V24&lt;&gt;"Yes","",IFERROR(IF(IF(COUNTIFS('Risk Acceptance Register'!$B$6:$B$105,A24,'Risk Acceptance Register'!$T$6:$T$105,"Eligible")&gt;0,LOOKUP(2,1/(('Risk Acceptance Register'!$B$6:$B$105=A24)*('Risk Acceptance Register'!$T$6:$T$105="Eligible")),'Risk Acceptance Register'!$M$6:$M$105),LOOKUP(2,1/(('Risk Acceptance Register'!$B$6:$B$105=A24)*('Risk Acceptance Register'!$I$6:$I$105="Approved")),'Risk Acceptance Register'!$M$6:$M$105))=0,"",IF(COUNTIFS('Risk Acceptance Register'!$B$6:$B$105,A24,'Risk Acceptance Register'!$T$6:$T$105,"Eligible")&gt;0,LOOKUP(2,1/(('Risk Acceptance Register'!$B$6:$B$105=A24)*('Risk Acceptance Register'!$T$6:$T$105="Eligible")),'Risk Acceptance Register'!$M$6:$M$105),LOOKUP(2,1/(('Risk Acceptance Register'!$B$6:$B$105=A24)*('Risk Acceptance Register'!$I$6:$I$105="Approved")),'Risk Acceptance Register'!$M$6:$M$105))),""))</f>
        <v/>
      </c>
      <c r="Y24" s="38" t="str">
        <f>IF(A24="","",IF(U24="Within appetite","Within appetite",IF(AND(U24&lt;&gt;"Appetite breach",U24&lt;&gt;"Tolerance breach"),U24,IF(COUNTIFS('Risk Acceptance Register'!$B$6:$B$105,A24,'Risk Acceptance Register'!$T$6:$T$105,"Eligible")&gt;0,"Breach - formally accepted",IF(V24="Yes",IF(X24="","Accepted - expiry not set",IF(X24&lt;Methodology!$B$4,"Acceptance expired - breach open","Breach - not accepted")),"Breach - not accepted")))))</f>
        <v/>
      </c>
      <c r="Z24" s="40"/>
      <c r="AA24" s="38" t="str">
        <f>IF(OR(A24="",Z24=""),"",IF(Z24&lt;Methodology!$B$4,"Overdue","On schedule"))</f>
        <v/>
      </c>
      <c r="AB24" s="38" t="str">
        <f>IF(OR(U24="",U24="Within appetite"),"",MAX(AB$5:AB23)+1)</f>
        <v/>
      </c>
      <c r="AC24" s="38" t="str">
        <f>IF(A24="","",COUNTIF('Treatment Tracker'!$B$6:$B$105,A24)-COUNTIFS('Treatment Tracker'!$B$6:$B$105,A24,'Treatment Tracker'!$H$6:$H$105,"Completed")-COUNTIFS('Treatment Tracker'!$B$6:$B$105,A24,'Treatment Tracker'!$H$6:$H$105,"Cancelled"))</f>
        <v/>
      </c>
      <c r="AD24" s="38" t="str">
        <f t="shared" si="12"/>
        <v/>
      </c>
      <c r="AE24" s="35"/>
      <c r="AF24" s="35"/>
      <c r="AG24" s="40"/>
      <c r="AH24" s="35"/>
      <c r="AI24" s="38" t="str">
        <f>IF(A24="","",IF(OR(K24="",L24=""),"No assessment",IF(OR(NOT(ISNUMBER(K24)),NOT(ISNUMBER(L24))),"Invalid residual ratings",IF(OR(K24&lt;1,K24&gt;5,L24&lt;1,L24&gt;5,INT(K24)&lt;&gt;K24,INT(L24)&lt;&gt;L24),"Invalid residual ratings",IF(OR(AE24="",AF24="",AG24="",AH24=""),"Incomplete evidence",IF(NOT(ISNUMBER(AG24)),"Invalid assessment date",IF(OR(AG24&gt;Methodology!$B$4,AG24&lt;=0),"Invalid assessment date",IF(AG24+Methodology!$B$3&lt;Methodology!$B$4,"Expired",IF(AL24&lt;&gt;"Approved","Approval not confirmed","Valid")))))))))</f>
        <v/>
      </c>
      <c r="AJ24" s="38" t="str">
        <f>IF(OR(F24="",G24=""),"",MAX(1,ROUND(F24*(1-IFERROR(INDEX(Methodology!$B$41:$B$44,MATCH(J24,Methodology!$A$41:$A$44,0)),0)),0))*G24)</f>
        <v/>
      </c>
      <c r="AK24" s="38" t="str">
        <f t="shared" si="13"/>
        <v/>
      </c>
      <c r="AL24" s="36"/>
    </row>
    <row r="25" spans="1:38" x14ac:dyDescent="0.35">
      <c r="A25" s="35"/>
      <c r="B25" s="24"/>
      <c r="C25" s="24"/>
      <c r="D25" s="35"/>
      <c r="E25" s="35"/>
      <c r="F25" s="36"/>
      <c r="G25" s="36"/>
      <c r="H25" s="37" t="str">
        <f t="shared" si="7"/>
        <v/>
      </c>
      <c r="I25" s="38" t="str">
        <f>IF(NOT(ISNUMBER(H25)),"",INDEX(Methodology!$B$26:$B$29,MATCH(H25,Methodology!$A$26:$A$29,1)))</f>
        <v/>
      </c>
      <c r="J25" s="35"/>
      <c r="K25" s="36"/>
      <c r="L25" s="36"/>
      <c r="M25" s="37" t="str">
        <f t="shared" si="8"/>
        <v/>
      </c>
      <c r="N25" s="37" t="str">
        <f t="shared" si="9"/>
        <v/>
      </c>
      <c r="O25" s="37" t="str">
        <f t="shared" si="10"/>
        <v/>
      </c>
      <c r="P25" s="38" t="str">
        <f>IF(O25="","",INDEX(Methodology!$B$26:$B$29,MATCH(O25,Methodology!$A$26:$A$29,1)))</f>
        <v/>
      </c>
      <c r="Q25" s="36"/>
      <c r="R25" s="37" t="str">
        <f t="shared" si="11"/>
        <v/>
      </c>
      <c r="S25" s="37" t="str">
        <f>IF(D25="","",IFERROR(IF(OR(INDEX(Appetite!$I$6:$I$17,MATCH(D25,Appetite!$A$6:$A$17,0))="OK",INDEX(Appetite!$I$6:$I$17,MATCH(D25,Appetite!$A$6:$A$17,0))="Review overdue - approved"),INDEX(Appetite!$C$6:$C$17,MATCH(D25,Appetite!$A$6:$A$17,0)),""),""))</f>
        <v/>
      </c>
      <c r="T25" s="37" t="str">
        <f>IF(D25="","",IFERROR(IF(OR(INDEX(Appetite!$I$6:$I$17,MATCH(D25,Appetite!$A$6:$A$17,0))="OK",INDEX(Appetite!$I$6:$I$17,MATCH(D25,Appetite!$A$6:$A$17,0))="Review overdue - approved"),INDEX(Appetite!$D$6:$D$17,MATCH(D25,Appetite!$A$6:$A$17,0)),""),""))</f>
        <v/>
      </c>
      <c r="U25" s="38" t="str">
        <f>IF(A25="","",IF(H25="Invalid inherent ratings","Invalid inherent ratings",IF(O25="","Assessment missing",IF(COUNTIF(Appetite!$A$6:$A$17,D25)=0,"Configuration missing",IF(OR(S25="",T25=""),"Configuration: "&amp;INDEX(Appetite!$I$6:$I$17,MATCH(D25,Appetite!$A$6:$A$17,0)),IF(O25&gt;T25,"Tolerance breach",IF(O25&gt;S25,"Appetite breach","Within appetite")))))))</f>
        <v/>
      </c>
      <c r="V25" s="38" t="str">
        <f>IF(A25="","",IF(COUNTIFS('Risk Acceptance Register'!$B$6:$B$105,A25,'Risk Acceptance Register'!$I$6:$I$105,"Approved")&gt;0,"Yes","No"))</f>
        <v/>
      </c>
      <c r="W25" s="38" t="str">
        <f>IF(V25&lt;&gt;"Yes","",IFERROR(IF(COUNTIFS('Risk Acceptance Register'!$B$6:$B$105,A25,'Risk Acceptance Register'!$T$6:$T$105,"Eligible")&gt;0,LOOKUP(2,1/(('Risk Acceptance Register'!$B$6:$B$105=A25)*('Risk Acceptance Register'!$T$6:$T$105="Eligible")),'Risk Acceptance Register'!$J$6:$J$105),LOOKUP(2,1/(('Risk Acceptance Register'!$B$6:$B$105=A25)*('Risk Acceptance Register'!$I$6:$I$105="Approved")),'Risk Acceptance Register'!$J$6:$J$105))&amp;"",""))</f>
        <v/>
      </c>
      <c r="X25" s="39" t="str">
        <f>IF(V25&lt;&gt;"Yes","",IFERROR(IF(IF(COUNTIFS('Risk Acceptance Register'!$B$6:$B$105,A25,'Risk Acceptance Register'!$T$6:$T$105,"Eligible")&gt;0,LOOKUP(2,1/(('Risk Acceptance Register'!$B$6:$B$105=A25)*('Risk Acceptance Register'!$T$6:$T$105="Eligible")),'Risk Acceptance Register'!$M$6:$M$105),LOOKUP(2,1/(('Risk Acceptance Register'!$B$6:$B$105=A25)*('Risk Acceptance Register'!$I$6:$I$105="Approved")),'Risk Acceptance Register'!$M$6:$M$105))=0,"",IF(COUNTIFS('Risk Acceptance Register'!$B$6:$B$105,A25,'Risk Acceptance Register'!$T$6:$T$105,"Eligible")&gt;0,LOOKUP(2,1/(('Risk Acceptance Register'!$B$6:$B$105=A25)*('Risk Acceptance Register'!$T$6:$T$105="Eligible")),'Risk Acceptance Register'!$M$6:$M$105),LOOKUP(2,1/(('Risk Acceptance Register'!$B$6:$B$105=A25)*('Risk Acceptance Register'!$I$6:$I$105="Approved")),'Risk Acceptance Register'!$M$6:$M$105))),""))</f>
        <v/>
      </c>
      <c r="Y25" s="38" t="str">
        <f>IF(A25="","",IF(U25="Within appetite","Within appetite",IF(AND(U25&lt;&gt;"Appetite breach",U25&lt;&gt;"Tolerance breach"),U25,IF(COUNTIFS('Risk Acceptance Register'!$B$6:$B$105,A25,'Risk Acceptance Register'!$T$6:$T$105,"Eligible")&gt;0,"Breach - formally accepted",IF(V25="Yes",IF(X25="","Accepted - expiry not set",IF(X25&lt;Methodology!$B$4,"Acceptance expired - breach open","Breach - not accepted")),"Breach - not accepted")))))</f>
        <v/>
      </c>
      <c r="Z25" s="40"/>
      <c r="AA25" s="38" t="str">
        <f>IF(OR(A25="",Z25=""),"",IF(Z25&lt;Methodology!$B$4,"Overdue","On schedule"))</f>
        <v/>
      </c>
      <c r="AB25" s="38" t="str">
        <f>IF(OR(U25="",U25="Within appetite"),"",MAX(AB$5:AB24)+1)</f>
        <v/>
      </c>
      <c r="AC25" s="38" t="str">
        <f>IF(A25="","",COUNTIF('Treatment Tracker'!$B$6:$B$105,A25)-COUNTIFS('Treatment Tracker'!$B$6:$B$105,A25,'Treatment Tracker'!$H$6:$H$105,"Completed")-COUNTIFS('Treatment Tracker'!$B$6:$B$105,A25,'Treatment Tracker'!$H$6:$H$105,"Cancelled"))</f>
        <v/>
      </c>
      <c r="AD25" s="38" t="str">
        <f t="shared" si="12"/>
        <v/>
      </c>
      <c r="AE25" s="35"/>
      <c r="AF25" s="35"/>
      <c r="AG25" s="40"/>
      <c r="AH25" s="35"/>
      <c r="AI25" s="38" t="str">
        <f>IF(A25="","",IF(OR(K25="",L25=""),"No assessment",IF(OR(NOT(ISNUMBER(K25)),NOT(ISNUMBER(L25))),"Invalid residual ratings",IF(OR(K25&lt;1,K25&gt;5,L25&lt;1,L25&gt;5,INT(K25)&lt;&gt;K25,INT(L25)&lt;&gt;L25),"Invalid residual ratings",IF(OR(AE25="",AF25="",AG25="",AH25=""),"Incomplete evidence",IF(NOT(ISNUMBER(AG25)),"Invalid assessment date",IF(OR(AG25&gt;Methodology!$B$4,AG25&lt;=0),"Invalid assessment date",IF(AG25+Methodology!$B$3&lt;Methodology!$B$4,"Expired",IF(AL25&lt;&gt;"Approved","Approval not confirmed","Valid")))))))))</f>
        <v/>
      </c>
      <c r="AJ25" s="38" t="str">
        <f>IF(OR(F25="",G25=""),"",MAX(1,ROUND(F25*(1-IFERROR(INDEX(Methodology!$B$41:$B$44,MATCH(J25,Methodology!$A$41:$A$44,0)),0)),0))*G25)</f>
        <v/>
      </c>
      <c r="AK25" s="38" t="str">
        <f t="shared" si="13"/>
        <v/>
      </c>
      <c r="AL25" s="36"/>
    </row>
    <row r="26" spans="1:38" x14ac:dyDescent="0.35">
      <c r="A26" s="35"/>
      <c r="B26" s="24"/>
      <c r="C26" s="24"/>
      <c r="D26" s="35"/>
      <c r="E26" s="35"/>
      <c r="F26" s="36"/>
      <c r="G26" s="36"/>
      <c r="H26" s="37" t="str">
        <f t="shared" si="7"/>
        <v/>
      </c>
      <c r="I26" s="38" t="str">
        <f>IF(NOT(ISNUMBER(H26)),"",INDEX(Methodology!$B$26:$B$29,MATCH(H26,Methodology!$A$26:$A$29,1)))</f>
        <v/>
      </c>
      <c r="J26" s="35"/>
      <c r="K26" s="36"/>
      <c r="L26" s="36"/>
      <c r="M26" s="37" t="str">
        <f t="shared" si="8"/>
        <v/>
      </c>
      <c r="N26" s="37" t="str">
        <f t="shared" si="9"/>
        <v/>
      </c>
      <c r="O26" s="37" t="str">
        <f t="shared" si="10"/>
        <v/>
      </c>
      <c r="P26" s="38" t="str">
        <f>IF(O26="","",INDEX(Methodology!$B$26:$B$29,MATCH(O26,Methodology!$A$26:$A$29,1)))</f>
        <v/>
      </c>
      <c r="Q26" s="36"/>
      <c r="R26" s="37" t="str">
        <f t="shared" si="11"/>
        <v/>
      </c>
      <c r="S26" s="37" t="str">
        <f>IF(D26="","",IFERROR(IF(OR(INDEX(Appetite!$I$6:$I$17,MATCH(D26,Appetite!$A$6:$A$17,0))="OK",INDEX(Appetite!$I$6:$I$17,MATCH(D26,Appetite!$A$6:$A$17,0))="Review overdue - approved"),INDEX(Appetite!$C$6:$C$17,MATCH(D26,Appetite!$A$6:$A$17,0)),""),""))</f>
        <v/>
      </c>
      <c r="T26" s="37" t="str">
        <f>IF(D26="","",IFERROR(IF(OR(INDEX(Appetite!$I$6:$I$17,MATCH(D26,Appetite!$A$6:$A$17,0))="OK",INDEX(Appetite!$I$6:$I$17,MATCH(D26,Appetite!$A$6:$A$17,0))="Review overdue - approved"),INDEX(Appetite!$D$6:$D$17,MATCH(D26,Appetite!$A$6:$A$17,0)),""),""))</f>
        <v/>
      </c>
      <c r="U26" s="38" t="str">
        <f>IF(A26="","",IF(H26="Invalid inherent ratings","Invalid inherent ratings",IF(O26="","Assessment missing",IF(COUNTIF(Appetite!$A$6:$A$17,D26)=0,"Configuration missing",IF(OR(S26="",T26=""),"Configuration: "&amp;INDEX(Appetite!$I$6:$I$17,MATCH(D26,Appetite!$A$6:$A$17,0)),IF(O26&gt;T26,"Tolerance breach",IF(O26&gt;S26,"Appetite breach","Within appetite")))))))</f>
        <v/>
      </c>
      <c r="V26" s="38" t="str">
        <f>IF(A26="","",IF(COUNTIFS('Risk Acceptance Register'!$B$6:$B$105,A26,'Risk Acceptance Register'!$I$6:$I$105,"Approved")&gt;0,"Yes","No"))</f>
        <v/>
      </c>
      <c r="W26" s="38" t="str">
        <f>IF(V26&lt;&gt;"Yes","",IFERROR(IF(COUNTIFS('Risk Acceptance Register'!$B$6:$B$105,A26,'Risk Acceptance Register'!$T$6:$T$105,"Eligible")&gt;0,LOOKUP(2,1/(('Risk Acceptance Register'!$B$6:$B$105=A26)*('Risk Acceptance Register'!$T$6:$T$105="Eligible")),'Risk Acceptance Register'!$J$6:$J$105),LOOKUP(2,1/(('Risk Acceptance Register'!$B$6:$B$105=A26)*('Risk Acceptance Register'!$I$6:$I$105="Approved")),'Risk Acceptance Register'!$J$6:$J$105))&amp;"",""))</f>
        <v/>
      </c>
      <c r="X26" s="39" t="str">
        <f>IF(V26&lt;&gt;"Yes","",IFERROR(IF(IF(COUNTIFS('Risk Acceptance Register'!$B$6:$B$105,A26,'Risk Acceptance Register'!$T$6:$T$105,"Eligible")&gt;0,LOOKUP(2,1/(('Risk Acceptance Register'!$B$6:$B$105=A26)*('Risk Acceptance Register'!$T$6:$T$105="Eligible")),'Risk Acceptance Register'!$M$6:$M$105),LOOKUP(2,1/(('Risk Acceptance Register'!$B$6:$B$105=A26)*('Risk Acceptance Register'!$I$6:$I$105="Approved")),'Risk Acceptance Register'!$M$6:$M$105))=0,"",IF(COUNTIFS('Risk Acceptance Register'!$B$6:$B$105,A26,'Risk Acceptance Register'!$T$6:$T$105,"Eligible")&gt;0,LOOKUP(2,1/(('Risk Acceptance Register'!$B$6:$B$105=A26)*('Risk Acceptance Register'!$T$6:$T$105="Eligible")),'Risk Acceptance Register'!$M$6:$M$105),LOOKUP(2,1/(('Risk Acceptance Register'!$B$6:$B$105=A26)*('Risk Acceptance Register'!$I$6:$I$105="Approved")),'Risk Acceptance Register'!$M$6:$M$105))),""))</f>
        <v/>
      </c>
      <c r="Y26" s="38" t="str">
        <f>IF(A26="","",IF(U26="Within appetite","Within appetite",IF(AND(U26&lt;&gt;"Appetite breach",U26&lt;&gt;"Tolerance breach"),U26,IF(COUNTIFS('Risk Acceptance Register'!$B$6:$B$105,A26,'Risk Acceptance Register'!$T$6:$T$105,"Eligible")&gt;0,"Breach - formally accepted",IF(V26="Yes",IF(X26="","Accepted - expiry not set",IF(X26&lt;Methodology!$B$4,"Acceptance expired - breach open","Breach - not accepted")),"Breach - not accepted")))))</f>
        <v/>
      </c>
      <c r="Z26" s="40"/>
      <c r="AA26" s="38" t="str">
        <f>IF(OR(A26="",Z26=""),"",IF(Z26&lt;Methodology!$B$4,"Overdue","On schedule"))</f>
        <v/>
      </c>
      <c r="AB26" s="38" t="str">
        <f>IF(OR(U26="",U26="Within appetite"),"",MAX(AB$5:AB25)+1)</f>
        <v/>
      </c>
      <c r="AC26" s="38" t="str">
        <f>IF(A26="","",COUNTIF('Treatment Tracker'!$B$6:$B$105,A26)-COUNTIFS('Treatment Tracker'!$B$6:$B$105,A26,'Treatment Tracker'!$H$6:$H$105,"Completed")-COUNTIFS('Treatment Tracker'!$B$6:$B$105,A26,'Treatment Tracker'!$H$6:$H$105,"Cancelled"))</f>
        <v/>
      </c>
      <c r="AD26" s="38" t="str">
        <f t="shared" si="12"/>
        <v/>
      </c>
      <c r="AE26" s="35"/>
      <c r="AF26" s="35"/>
      <c r="AG26" s="40"/>
      <c r="AH26" s="35"/>
      <c r="AI26" s="38" t="str">
        <f>IF(A26="","",IF(OR(K26="",L26=""),"No assessment",IF(OR(NOT(ISNUMBER(K26)),NOT(ISNUMBER(L26))),"Invalid residual ratings",IF(OR(K26&lt;1,K26&gt;5,L26&lt;1,L26&gt;5,INT(K26)&lt;&gt;K26,INT(L26)&lt;&gt;L26),"Invalid residual ratings",IF(OR(AE26="",AF26="",AG26="",AH26=""),"Incomplete evidence",IF(NOT(ISNUMBER(AG26)),"Invalid assessment date",IF(OR(AG26&gt;Methodology!$B$4,AG26&lt;=0),"Invalid assessment date",IF(AG26+Methodology!$B$3&lt;Methodology!$B$4,"Expired",IF(AL26&lt;&gt;"Approved","Approval not confirmed","Valid")))))))))</f>
        <v/>
      </c>
      <c r="AJ26" s="38" t="str">
        <f>IF(OR(F26="",G26=""),"",MAX(1,ROUND(F26*(1-IFERROR(INDEX(Methodology!$B$41:$B$44,MATCH(J26,Methodology!$A$41:$A$44,0)),0)),0))*G26)</f>
        <v/>
      </c>
      <c r="AK26" s="38" t="str">
        <f t="shared" si="13"/>
        <v/>
      </c>
      <c r="AL26" s="36"/>
    </row>
    <row r="27" spans="1:38" x14ac:dyDescent="0.35">
      <c r="A27" s="35"/>
      <c r="B27" s="24"/>
      <c r="C27" s="24"/>
      <c r="D27" s="35"/>
      <c r="E27" s="35"/>
      <c r="F27" s="36"/>
      <c r="G27" s="36"/>
      <c r="H27" s="37" t="str">
        <f t="shared" si="7"/>
        <v/>
      </c>
      <c r="I27" s="38" t="str">
        <f>IF(NOT(ISNUMBER(H27)),"",INDEX(Methodology!$B$26:$B$29,MATCH(H27,Methodology!$A$26:$A$29,1)))</f>
        <v/>
      </c>
      <c r="J27" s="35"/>
      <c r="K27" s="36"/>
      <c r="L27" s="36"/>
      <c r="M27" s="37" t="str">
        <f t="shared" si="8"/>
        <v/>
      </c>
      <c r="N27" s="37" t="str">
        <f t="shared" si="9"/>
        <v/>
      </c>
      <c r="O27" s="37" t="str">
        <f t="shared" si="10"/>
        <v/>
      </c>
      <c r="P27" s="38" t="str">
        <f>IF(O27="","",INDEX(Methodology!$B$26:$B$29,MATCH(O27,Methodology!$A$26:$A$29,1)))</f>
        <v/>
      </c>
      <c r="Q27" s="36"/>
      <c r="R27" s="37" t="str">
        <f t="shared" si="11"/>
        <v/>
      </c>
      <c r="S27" s="37" t="str">
        <f>IF(D27="","",IFERROR(IF(OR(INDEX(Appetite!$I$6:$I$17,MATCH(D27,Appetite!$A$6:$A$17,0))="OK",INDEX(Appetite!$I$6:$I$17,MATCH(D27,Appetite!$A$6:$A$17,0))="Review overdue - approved"),INDEX(Appetite!$C$6:$C$17,MATCH(D27,Appetite!$A$6:$A$17,0)),""),""))</f>
        <v/>
      </c>
      <c r="T27" s="37" t="str">
        <f>IF(D27="","",IFERROR(IF(OR(INDEX(Appetite!$I$6:$I$17,MATCH(D27,Appetite!$A$6:$A$17,0))="OK",INDEX(Appetite!$I$6:$I$17,MATCH(D27,Appetite!$A$6:$A$17,0))="Review overdue - approved"),INDEX(Appetite!$D$6:$D$17,MATCH(D27,Appetite!$A$6:$A$17,0)),""),""))</f>
        <v/>
      </c>
      <c r="U27" s="38" t="str">
        <f>IF(A27="","",IF(H27="Invalid inherent ratings","Invalid inherent ratings",IF(O27="","Assessment missing",IF(COUNTIF(Appetite!$A$6:$A$17,D27)=0,"Configuration missing",IF(OR(S27="",T27=""),"Configuration: "&amp;INDEX(Appetite!$I$6:$I$17,MATCH(D27,Appetite!$A$6:$A$17,0)),IF(O27&gt;T27,"Tolerance breach",IF(O27&gt;S27,"Appetite breach","Within appetite")))))))</f>
        <v/>
      </c>
      <c r="V27" s="38" t="str">
        <f>IF(A27="","",IF(COUNTIFS('Risk Acceptance Register'!$B$6:$B$105,A27,'Risk Acceptance Register'!$I$6:$I$105,"Approved")&gt;0,"Yes","No"))</f>
        <v/>
      </c>
      <c r="W27" s="38" t="str">
        <f>IF(V27&lt;&gt;"Yes","",IFERROR(IF(COUNTIFS('Risk Acceptance Register'!$B$6:$B$105,A27,'Risk Acceptance Register'!$T$6:$T$105,"Eligible")&gt;0,LOOKUP(2,1/(('Risk Acceptance Register'!$B$6:$B$105=A27)*('Risk Acceptance Register'!$T$6:$T$105="Eligible")),'Risk Acceptance Register'!$J$6:$J$105),LOOKUP(2,1/(('Risk Acceptance Register'!$B$6:$B$105=A27)*('Risk Acceptance Register'!$I$6:$I$105="Approved")),'Risk Acceptance Register'!$J$6:$J$105))&amp;"",""))</f>
        <v/>
      </c>
      <c r="X27" s="39" t="str">
        <f>IF(V27&lt;&gt;"Yes","",IFERROR(IF(IF(COUNTIFS('Risk Acceptance Register'!$B$6:$B$105,A27,'Risk Acceptance Register'!$T$6:$T$105,"Eligible")&gt;0,LOOKUP(2,1/(('Risk Acceptance Register'!$B$6:$B$105=A27)*('Risk Acceptance Register'!$T$6:$T$105="Eligible")),'Risk Acceptance Register'!$M$6:$M$105),LOOKUP(2,1/(('Risk Acceptance Register'!$B$6:$B$105=A27)*('Risk Acceptance Register'!$I$6:$I$105="Approved")),'Risk Acceptance Register'!$M$6:$M$105))=0,"",IF(COUNTIFS('Risk Acceptance Register'!$B$6:$B$105,A27,'Risk Acceptance Register'!$T$6:$T$105,"Eligible")&gt;0,LOOKUP(2,1/(('Risk Acceptance Register'!$B$6:$B$105=A27)*('Risk Acceptance Register'!$T$6:$T$105="Eligible")),'Risk Acceptance Register'!$M$6:$M$105),LOOKUP(2,1/(('Risk Acceptance Register'!$B$6:$B$105=A27)*('Risk Acceptance Register'!$I$6:$I$105="Approved")),'Risk Acceptance Register'!$M$6:$M$105))),""))</f>
        <v/>
      </c>
      <c r="Y27" s="38" t="str">
        <f>IF(A27="","",IF(U27="Within appetite","Within appetite",IF(AND(U27&lt;&gt;"Appetite breach",U27&lt;&gt;"Tolerance breach"),U27,IF(COUNTIFS('Risk Acceptance Register'!$B$6:$B$105,A27,'Risk Acceptance Register'!$T$6:$T$105,"Eligible")&gt;0,"Breach - formally accepted",IF(V27="Yes",IF(X27="","Accepted - expiry not set",IF(X27&lt;Methodology!$B$4,"Acceptance expired - breach open","Breach - not accepted")),"Breach - not accepted")))))</f>
        <v/>
      </c>
      <c r="Z27" s="40"/>
      <c r="AA27" s="38" t="str">
        <f>IF(OR(A27="",Z27=""),"",IF(Z27&lt;Methodology!$B$4,"Overdue","On schedule"))</f>
        <v/>
      </c>
      <c r="AB27" s="38" t="str">
        <f>IF(OR(U27="",U27="Within appetite"),"",MAX(AB$5:AB26)+1)</f>
        <v/>
      </c>
      <c r="AC27" s="38" t="str">
        <f>IF(A27="","",COUNTIF('Treatment Tracker'!$B$6:$B$105,A27)-COUNTIFS('Treatment Tracker'!$B$6:$B$105,A27,'Treatment Tracker'!$H$6:$H$105,"Completed")-COUNTIFS('Treatment Tracker'!$B$6:$B$105,A27,'Treatment Tracker'!$H$6:$H$105,"Cancelled"))</f>
        <v/>
      </c>
      <c r="AD27" s="38" t="str">
        <f t="shared" si="12"/>
        <v/>
      </c>
      <c r="AE27" s="35"/>
      <c r="AF27" s="35"/>
      <c r="AG27" s="40"/>
      <c r="AH27" s="35"/>
      <c r="AI27" s="38" t="str">
        <f>IF(A27="","",IF(OR(K27="",L27=""),"No assessment",IF(OR(NOT(ISNUMBER(K27)),NOT(ISNUMBER(L27))),"Invalid residual ratings",IF(OR(K27&lt;1,K27&gt;5,L27&lt;1,L27&gt;5,INT(K27)&lt;&gt;K27,INT(L27)&lt;&gt;L27),"Invalid residual ratings",IF(OR(AE27="",AF27="",AG27="",AH27=""),"Incomplete evidence",IF(NOT(ISNUMBER(AG27)),"Invalid assessment date",IF(OR(AG27&gt;Methodology!$B$4,AG27&lt;=0),"Invalid assessment date",IF(AG27+Methodology!$B$3&lt;Methodology!$B$4,"Expired",IF(AL27&lt;&gt;"Approved","Approval not confirmed","Valid")))))))))</f>
        <v/>
      </c>
      <c r="AJ27" s="38" t="str">
        <f>IF(OR(F27="",G27=""),"",MAX(1,ROUND(F27*(1-IFERROR(INDEX(Methodology!$B$41:$B$44,MATCH(J27,Methodology!$A$41:$A$44,0)),0)),0))*G27)</f>
        <v/>
      </c>
      <c r="AK27" s="38" t="str">
        <f t="shared" si="13"/>
        <v/>
      </c>
      <c r="AL27" s="36"/>
    </row>
    <row r="28" spans="1:38" x14ac:dyDescent="0.35">
      <c r="A28" s="35"/>
      <c r="B28" s="24"/>
      <c r="C28" s="24"/>
      <c r="D28" s="35"/>
      <c r="E28" s="35"/>
      <c r="F28" s="36"/>
      <c r="G28" s="36"/>
      <c r="H28" s="37" t="str">
        <f t="shared" si="7"/>
        <v/>
      </c>
      <c r="I28" s="38" t="str">
        <f>IF(NOT(ISNUMBER(H28)),"",INDEX(Methodology!$B$26:$B$29,MATCH(H28,Methodology!$A$26:$A$29,1)))</f>
        <v/>
      </c>
      <c r="J28" s="35"/>
      <c r="K28" s="36"/>
      <c r="L28" s="36"/>
      <c r="M28" s="37" t="str">
        <f t="shared" si="8"/>
        <v/>
      </c>
      <c r="N28" s="37" t="str">
        <f t="shared" si="9"/>
        <v/>
      </c>
      <c r="O28" s="37" t="str">
        <f t="shared" si="10"/>
        <v/>
      </c>
      <c r="P28" s="38" t="str">
        <f>IF(O28="","",INDEX(Methodology!$B$26:$B$29,MATCH(O28,Methodology!$A$26:$A$29,1)))</f>
        <v/>
      </c>
      <c r="Q28" s="36"/>
      <c r="R28" s="37" t="str">
        <f t="shared" si="11"/>
        <v/>
      </c>
      <c r="S28" s="37" t="str">
        <f>IF(D28="","",IFERROR(IF(OR(INDEX(Appetite!$I$6:$I$17,MATCH(D28,Appetite!$A$6:$A$17,0))="OK",INDEX(Appetite!$I$6:$I$17,MATCH(D28,Appetite!$A$6:$A$17,0))="Review overdue - approved"),INDEX(Appetite!$C$6:$C$17,MATCH(D28,Appetite!$A$6:$A$17,0)),""),""))</f>
        <v/>
      </c>
      <c r="T28" s="37" t="str">
        <f>IF(D28="","",IFERROR(IF(OR(INDEX(Appetite!$I$6:$I$17,MATCH(D28,Appetite!$A$6:$A$17,0))="OK",INDEX(Appetite!$I$6:$I$17,MATCH(D28,Appetite!$A$6:$A$17,0))="Review overdue - approved"),INDEX(Appetite!$D$6:$D$17,MATCH(D28,Appetite!$A$6:$A$17,0)),""),""))</f>
        <v/>
      </c>
      <c r="U28" s="38" t="str">
        <f>IF(A28="","",IF(H28="Invalid inherent ratings","Invalid inherent ratings",IF(O28="","Assessment missing",IF(COUNTIF(Appetite!$A$6:$A$17,D28)=0,"Configuration missing",IF(OR(S28="",T28=""),"Configuration: "&amp;INDEX(Appetite!$I$6:$I$17,MATCH(D28,Appetite!$A$6:$A$17,0)),IF(O28&gt;T28,"Tolerance breach",IF(O28&gt;S28,"Appetite breach","Within appetite")))))))</f>
        <v/>
      </c>
      <c r="V28" s="38" t="str">
        <f>IF(A28="","",IF(COUNTIFS('Risk Acceptance Register'!$B$6:$B$105,A28,'Risk Acceptance Register'!$I$6:$I$105,"Approved")&gt;0,"Yes","No"))</f>
        <v/>
      </c>
      <c r="W28" s="38" t="str">
        <f>IF(V28&lt;&gt;"Yes","",IFERROR(IF(COUNTIFS('Risk Acceptance Register'!$B$6:$B$105,A28,'Risk Acceptance Register'!$T$6:$T$105,"Eligible")&gt;0,LOOKUP(2,1/(('Risk Acceptance Register'!$B$6:$B$105=A28)*('Risk Acceptance Register'!$T$6:$T$105="Eligible")),'Risk Acceptance Register'!$J$6:$J$105),LOOKUP(2,1/(('Risk Acceptance Register'!$B$6:$B$105=A28)*('Risk Acceptance Register'!$I$6:$I$105="Approved")),'Risk Acceptance Register'!$J$6:$J$105))&amp;"",""))</f>
        <v/>
      </c>
      <c r="X28" s="39" t="str">
        <f>IF(V28&lt;&gt;"Yes","",IFERROR(IF(IF(COUNTIFS('Risk Acceptance Register'!$B$6:$B$105,A28,'Risk Acceptance Register'!$T$6:$T$105,"Eligible")&gt;0,LOOKUP(2,1/(('Risk Acceptance Register'!$B$6:$B$105=A28)*('Risk Acceptance Register'!$T$6:$T$105="Eligible")),'Risk Acceptance Register'!$M$6:$M$105),LOOKUP(2,1/(('Risk Acceptance Register'!$B$6:$B$105=A28)*('Risk Acceptance Register'!$I$6:$I$105="Approved")),'Risk Acceptance Register'!$M$6:$M$105))=0,"",IF(COUNTIFS('Risk Acceptance Register'!$B$6:$B$105,A28,'Risk Acceptance Register'!$T$6:$T$105,"Eligible")&gt;0,LOOKUP(2,1/(('Risk Acceptance Register'!$B$6:$B$105=A28)*('Risk Acceptance Register'!$T$6:$T$105="Eligible")),'Risk Acceptance Register'!$M$6:$M$105),LOOKUP(2,1/(('Risk Acceptance Register'!$B$6:$B$105=A28)*('Risk Acceptance Register'!$I$6:$I$105="Approved")),'Risk Acceptance Register'!$M$6:$M$105))),""))</f>
        <v/>
      </c>
      <c r="Y28" s="38" t="str">
        <f>IF(A28="","",IF(U28="Within appetite","Within appetite",IF(AND(U28&lt;&gt;"Appetite breach",U28&lt;&gt;"Tolerance breach"),U28,IF(COUNTIFS('Risk Acceptance Register'!$B$6:$B$105,A28,'Risk Acceptance Register'!$T$6:$T$105,"Eligible")&gt;0,"Breach - formally accepted",IF(V28="Yes",IF(X28="","Accepted - expiry not set",IF(X28&lt;Methodology!$B$4,"Acceptance expired - breach open","Breach - not accepted")),"Breach - not accepted")))))</f>
        <v/>
      </c>
      <c r="Z28" s="40"/>
      <c r="AA28" s="38" t="str">
        <f>IF(OR(A28="",Z28=""),"",IF(Z28&lt;Methodology!$B$4,"Overdue","On schedule"))</f>
        <v/>
      </c>
      <c r="AB28" s="38" t="str">
        <f>IF(OR(U28="",U28="Within appetite"),"",MAX(AB$5:AB27)+1)</f>
        <v/>
      </c>
      <c r="AC28" s="38" t="str">
        <f>IF(A28="","",COUNTIF('Treatment Tracker'!$B$6:$B$105,A28)-COUNTIFS('Treatment Tracker'!$B$6:$B$105,A28,'Treatment Tracker'!$H$6:$H$105,"Completed")-COUNTIFS('Treatment Tracker'!$B$6:$B$105,A28,'Treatment Tracker'!$H$6:$H$105,"Cancelled"))</f>
        <v/>
      </c>
      <c r="AD28" s="38" t="str">
        <f t="shared" si="12"/>
        <v/>
      </c>
      <c r="AE28" s="35"/>
      <c r="AF28" s="35"/>
      <c r="AG28" s="40"/>
      <c r="AH28" s="35"/>
      <c r="AI28" s="38" t="str">
        <f>IF(A28="","",IF(OR(K28="",L28=""),"No assessment",IF(OR(NOT(ISNUMBER(K28)),NOT(ISNUMBER(L28))),"Invalid residual ratings",IF(OR(K28&lt;1,K28&gt;5,L28&lt;1,L28&gt;5,INT(K28)&lt;&gt;K28,INT(L28)&lt;&gt;L28),"Invalid residual ratings",IF(OR(AE28="",AF28="",AG28="",AH28=""),"Incomplete evidence",IF(NOT(ISNUMBER(AG28)),"Invalid assessment date",IF(OR(AG28&gt;Methodology!$B$4,AG28&lt;=0),"Invalid assessment date",IF(AG28+Methodology!$B$3&lt;Methodology!$B$4,"Expired",IF(AL28&lt;&gt;"Approved","Approval not confirmed","Valid")))))))))</f>
        <v/>
      </c>
      <c r="AJ28" s="38" t="str">
        <f>IF(OR(F28="",G28=""),"",MAX(1,ROUND(F28*(1-IFERROR(INDEX(Methodology!$B$41:$B$44,MATCH(J28,Methodology!$A$41:$A$44,0)),0)),0))*G28)</f>
        <v/>
      </c>
      <c r="AK28" s="38" t="str">
        <f t="shared" si="13"/>
        <v/>
      </c>
      <c r="AL28" s="36"/>
    </row>
    <row r="29" spans="1:38" x14ac:dyDescent="0.35">
      <c r="A29" s="35"/>
      <c r="B29" s="24"/>
      <c r="C29" s="24"/>
      <c r="D29" s="35"/>
      <c r="E29" s="35"/>
      <c r="F29" s="36"/>
      <c r="G29" s="36"/>
      <c r="H29" s="37" t="str">
        <f t="shared" si="7"/>
        <v/>
      </c>
      <c r="I29" s="38" t="str">
        <f>IF(NOT(ISNUMBER(H29)),"",INDEX(Methodology!$B$26:$B$29,MATCH(H29,Methodology!$A$26:$A$29,1)))</f>
        <v/>
      </c>
      <c r="J29" s="35"/>
      <c r="K29" s="36"/>
      <c r="L29" s="36"/>
      <c r="M29" s="37" t="str">
        <f t="shared" si="8"/>
        <v/>
      </c>
      <c r="N29" s="37" t="str">
        <f t="shared" si="9"/>
        <v/>
      </c>
      <c r="O29" s="37" t="str">
        <f t="shared" si="10"/>
        <v/>
      </c>
      <c r="P29" s="38" t="str">
        <f>IF(O29="","",INDEX(Methodology!$B$26:$B$29,MATCH(O29,Methodology!$A$26:$A$29,1)))</f>
        <v/>
      </c>
      <c r="Q29" s="36"/>
      <c r="R29" s="37" t="str">
        <f t="shared" si="11"/>
        <v/>
      </c>
      <c r="S29" s="37" t="str">
        <f>IF(D29="","",IFERROR(IF(OR(INDEX(Appetite!$I$6:$I$17,MATCH(D29,Appetite!$A$6:$A$17,0))="OK",INDEX(Appetite!$I$6:$I$17,MATCH(D29,Appetite!$A$6:$A$17,0))="Review overdue - approved"),INDEX(Appetite!$C$6:$C$17,MATCH(D29,Appetite!$A$6:$A$17,0)),""),""))</f>
        <v/>
      </c>
      <c r="T29" s="37" t="str">
        <f>IF(D29="","",IFERROR(IF(OR(INDEX(Appetite!$I$6:$I$17,MATCH(D29,Appetite!$A$6:$A$17,0))="OK",INDEX(Appetite!$I$6:$I$17,MATCH(D29,Appetite!$A$6:$A$17,0))="Review overdue - approved"),INDEX(Appetite!$D$6:$D$17,MATCH(D29,Appetite!$A$6:$A$17,0)),""),""))</f>
        <v/>
      </c>
      <c r="U29" s="38" t="str">
        <f>IF(A29="","",IF(H29="Invalid inherent ratings","Invalid inherent ratings",IF(O29="","Assessment missing",IF(COUNTIF(Appetite!$A$6:$A$17,D29)=0,"Configuration missing",IF(OR(S29="",T29=""),"Configuration: "&amp;INDEX(Appetite!$I$6:$I$17,MATCH(D29,Appetite!$A$6:$A$17,0)),IF(O29&gt;T29,"Tolerance breach",IF(O29&gt;S29,"Appetite breach","Within appetite")))))))</f>
        <v/>
      </c>
      <c r="V29" s="38" t="str">
        <f>IF(A29="","",IF(COUNTIFS('Risk Acceptance Register'!$B$6:$B$105,A29,'Risk Acceptance Register'!$I$6:$I$105,"Approved")&gt;0,"Yes","No"))</f>
        <v/>
      </c>
      <c r="W29" s="38" t="str">
        <f>IF(V29&lt;&gt;"Yes","",IFERROR(IF(COUNTIFS('Risk Acceptance Register'!$B$6:$B$105,A29,'Risk Acceptance Register'!$T$6:$T$105,"Eligible")&gt;0,LOOKUP(2,1/(('Risk Acceptance Register'!$B$6:$B$105=A29)*('Risk Acceptance Register'!$T$6:$T$105="Eligible")),'Risk Acceptance Register'!$J$6:$J$105),LOOKUP(2,1/(('Risk Acceptance Register'!$B$6:$B$105=A29)*('Risk Acceptance Register'!$I$6:$I$105="Approved")),'Risk Acceptance Register'!$J$6:$J$105))&amp;"",""))</f>
        <v/>
      </c>
      <c r="X29" s="39" t="str">
        <f>IF(V29&lt;&gt;"Yes","",IFERROR(IF(IF(COUNTIFS('Risk Acceptance Register'!$B$6:$B$105,A29,'Risk Acceptance Register'!$T$6:$T$105,"Eligible")&gt;0,LOOKUP(2,1/(('Risk Acceptance Register'!$B$6:$B$105=A29)*('Risk Acceptance Register'!$T$6:$T$105="Eligible")),'Risk Acceptance Register'!$M$6:$M$105),LOOKUP(2,1/(('Risk Acceptance Register'!$B$6:$B$105=A29)*('Risk Acceptance Register'!$I$6:$I$105="Approved")),'Risk Acceptance Register'!$M$6:$M$105))=0,"",IF(COUNTIFS('Risk Acceptance Register'!$B$6:$B$105,A29,'Risk Acceptance Register'!$T$6:$T$105,"Eligible")&gt;0,LOOKUP(2,1/(('Risk Acceptance Register'!$B$6:$B$105=A29)*('Risk Acceptance Register'!$T$6:$T$105="Eligible")),'Risk Acceptance Register'!$M$6:$M$105),LOOKUP(2,1/(('Risk Acceptance Register'!$B$6:$B$105=A29)*('Risk Acceptance Register'!$I$6:$I$105="Approved")),'Risk Acceptance Register'!$M$6:$M$105))),""))</f>
        <v/>
      </c>
      <c r="Y29" s="38" t="str">
        <f>IF(A29="","",IF(U29="Within appetite","Within appetite",IF(AND(U29&lt;&gt;"Appetite breach",U29&lt;&gt;"Tolerance breach"),U29,IF(COUNTIFS('Risk Acceptance Register'!$B$6:$B$105,A29,'Risk Acceptance Register'!$T$6:$T$105,"Eligible")&gt;0,"Breach - formally accepted",IF(V29="Yes",IF(X29="","Accepted - expiry not set",IF(X29&lt;Methodology!$B$4,"Acceptance expired - breach open","Breach - not accepted")),"Breach - not accepted")))))</f>
        <v/>
      </c>
      <c r="Z29" s="40"/>
      <c r="AA29" s="38" t="str">
        <f>IF(OR(A29="",Z29=""),"",IF(Z29&lt;Methodology!$B$4,"Overdue","On schedule"))</f>
        <v/>
      </c>
      <c r="AB29" s="38" t="str">
        <f>IF(OR(U29="",U29="Within appetite"),"",MAX(AB$5:AB28)+1)</f>
        <v/>
      </c>
      <c r="AC29" s="38" t="str">
        <f>IF(A29="","",COUNTIF('Treatment Tracker'!$B$6:$B$105,A29)-COUNTIFS('Treatment Tracker'!$B$6:$B$105,A29,'Treatment Tracker'!$H$6:$H$105,"Completed")-COUNTIFS('Treatment Tracker'!$B$6:$B$105,A29,'Treatment Tracker'!$H$6:$H$105,"Cancelled"))</f>
        <v/>
      </c>
      <c r="AD29" s="38" t="str">
        <f t="shared" si="12"/>
        <v/>
      </c>
      <c r="AE29" s="35"/>
      <c r="AF29" s="35"/>
      <c r="AG29" s="40"/>
      <c r="AH29" s="35"/>
      <c r="AI29" s="38" t="str">
        <f>IF(A29="","",IF(OR(K29="",L29=""),"No assessment",IF(OR(NOT(ISNUMBER(K29)),NOT(ISNUMBER(L29))),"Invalid residual ratings",IF(OR(K29&lt;1,K29&gt;5,L29&lt;1,L29&gt;5,INT(K29)&lt;&gt;K29,INT(L29)&lt;&gt;L29),"Invalid residual ratings",IF(OR(AE29="",AF29="",AG29="",AH29=""),"Incomplete evidence",IF(NOT(ISNUMBER(AG29)),"Invalid assessment date",IF(OR(AG29&gt;Methodology!$B$4,AG29&lt;=0),"Invalid assessment date",IF(AG29+Methodology!$B$3&lt;Methodology!$B$4,"Expired",IF(AL29&lt;&gt;"Approved","Approval not confirmed","Valid")))))))))</f>
        <v/>
      </c>
      <c r="AJ29" s="38" t="str">
        <f>IF(OR(F29="",G29=""),"",MAX(1,ROUND(F29*(1-IFERROR(INDEX(Methodology!$B$41:$B$44,MATCH(J29,Methodology!$A$41:$A$44,0)),0)),0))*G29)</f>
        <v/>
      </c>
      <c r="AK29" s="38" t="str">
        <f t="shared" si="13"/>
        <v/>
      </c>
      <c r="AL29" s="36"/>
    </row>
    <row r="30" spans="1:38" x14ac:dyDescent="0.35">
      <c r="A30" s="35"/>
      <c r="B30" s="24"/>
      <c r="C30" s="24"/>
      <c r="D30" s="35"/>
      <c r="E30" s="35"/>
      <c r="F30" s="36"/>
      <c r="G30" s="36"/>
      <c r="H30" s="37" t="str">
        <f t="shared" si="7"/>
        <v/>
      </c>
      <c r="I30" s="38" t="str">
        <f>IF(NOT(ISNUMBER(H30)),"",INDEX(Methodology!$B$26:$B$29,MATCH(H30,Methodology!$A$26:$A$29,1)))</f>
        <v/>
      </c>
      <c r="J30" s="35"/>
      <c r="K30" s="36"/>
      <c r="L30" s="36"/>
      <c r="M30" s="37" t="str">
        <f t="shared" si="8"/>
        <v/>
      </c>
      <c r="N30" s="37" t="str">
        <f t="shared" si="9"/>
        <v/>
      </c>
      <c r="O30" s="37" t="str">
        <f t="shared" si="10"/>
        <v/>
      </c>
      <c r="P30" s="38" t="str">
        <f>IF(O30="","",INDEX(Methodology!$B$26:$B$29,MATCH(O30,Methodology!$A$26:$A$29,1)))</f>
        <v/>
      </c>
      <c r="Q30" s="36"/>
      <c r="R30" s="37" t="str">
        <f t="shared" si="11"/>
        <v/>
      </c>
      <c r="S30" s="37" t="str">
        <f>IF(D30="","",IFERROR(IF(OR(INDEX(Appetite!$I$6:$I$17,MATCH(D30,Appetite!$A$6:$A$17,0))="OK",INDEX(Appetite!$I$6:$I$17,MATCH(D30,Appetite!$A$6:$A$17,0))="Review overdue - approved"),INDEX(Appetite!$C$6:$C$17,MATCH(D30,Appetite!$A$6:$A$17,0)),""),""))</f>
        <v/>
      </c>
      <c r="T30" s="37" t="str">
        <f>IF(D30="","",IFERROR(IF(OR(INDEX(Appetite!$I$6:$I$17,MATCH(D30,Appetite!$A$6:$A$17,0))="OK",INDEX(Appetite!$I$6:$I$17,MATCH(D30,Appetite!$A$6:$A$17,0))="Review overdue - approved"),INDEX(Appetite!$D$6:$D$17,MATCH(D30,Appetite!$A$6:$A$17,0)),""),""))</f>
        <v/>
      </c>
      <c r="U30" s="38" t="str">
        <f>IF(A30="","",IF(H30="Invalid inherent ratings","Invalid inherent ratings",IF(O30="","Assessment missing",IF(COUNTIF(Appetite!$A$6:$A$17,D30)=0,"Configuration missing",IF(OR(S30="",T30=""),"Configuration: "&amp;INDEX(Appetite!$I$6:$I$17,MATCH(D30,Appetite!$A$6:$A$17,0)),IF(O30&gt;T30,"Tolerance breach",IF(O30&gt;S30,"Appetite breach","Within appetite")))))))</f>
        <v/>
      </c>
      <c r="V30" s="38" t="str">
        <f>IF(A30="","",IF(COUNTIFS('Risk Acceptance Register'!$B$6:$B$105,A30,'Risk Acceptance Register'!$I$6:$I$105,"Approved")&gt;0,"Yes","No"))</f>
        <v/>
      </c>
      <c r="W30" s="38" t="str">
        <f>IF(V30&lt;&gt;"Yes","",IFERROR(IF(COUNTIFS('Risk Acceptance Register'!$B$6:$B$105,A30,'Risk Acceptance Register'!$T$6:$T$105,"Eligible")&gt;0,LOOKUP(2,1/(('Risk Acceptance Register'!$B$6:$B$105=A30)*('Risk Acceptance Register'!$T$6:$T$105="Eligible")),'Risk Acceptance Register'!$J$6:$J$105),LOOKUP(2,1/(('Risk Acceptance Register'!$B$6:$B$105=A30)*('Risk Acceptance Register'!$I$6:$I$105="Approved")),'Risk Acceptance Register'!$J$6:$J$105))&amp;"",""))</f>
        <v/>
      </c>
      <c r="X30" s="39" t="str">
        <f>IF(V30&lt;&gt;"Yes","",IFERROR(IF(IF(COUNTIFS('Risk Acceptance Register'!$B$6:$B$105,A30,'Risk Acceptance Register'!$T$6:$T$105,"Eligible")&gt;0,LOOKUP(2,1/(('Risk Acceptance Register'!$B$6:$B$105=A30)*('Risk Acceptance Register'!$T$6:$T$105="Eligible")),'Risk Acceptance Register'!$M$6:$M$105),LOOKUP(2,1/(('Risk Acceptance Register'!$B$6:$B$105=A30)*('Risk Acceptance Register'!$I$6:$I$105="Approved")),'Risk Acceptance Register'!$M$6:$M$105))=0,"",IF(COUNTIFS('Risk Acceptance Register'!$B$6:$B$105,A30,'Risk Acceptance Register'!$T$6:$T$105,"Eligible")&gt;0,LOOKUP(2,1/(('Risk Acceptance Register'!$B$6:$B$105=A30)*('Risk Acceptance Register'!$T$6:$T$105="Eligible")),'Risk Acceptance Register'!$M$6:$M$105),LOOKUP(2,1/(('Risk Acceptance Register'!$B$6:$B$105=A30)*('Risk Acceptance Register'!$I$6:$I$105="Approved")),'Risk Acceptance Register'!$M$6:$M$105))),""))</f>
        <v/>
      </c>
      <c r="Y30" s="38" t="str">
        <f>IF(A30="","",IF(U30="Within appetite","Within appetite",IF(AND(U30&lt;&gt;"Appetite breach",U30&lt;&gt;"Tolerance breach"),U30,IF(COUNTIFS('Risk Acceptance Register'!$B$6:$B$105,A30,'Risk Acceptance Register'!$T$6:$T$105,"Eligible")&gt;0,"Breach - formally accepted",IF(V30="Yes",IF(X30="","Accepted - expiry not set",IF(X30&lt;Methodology!$B$4,"Acceptance expired - breach open","Breach - not accepted")),"Breach - not accepted")))))</f>
        <v/>
      </c>
      <c r="Z30" s="40"/>
      <c r="AA30" s="38" t="str">
        <f>IF(OR(A30="",Z30=""),"",IF(Z30&lt;Methodology!$B$4,"Overdue","On schedule"))</f>
        <v/>
      </c>
      <c r="AB30" s="38" t="str">
        <f>IF(OR(U30="",U30="Within appetite"),"",MAX(AB$5:AB29)+1)</f>
        <v/>
      </c>
      <c r="AC30" s="38" t="str">
        <f>IF(A30="","",COUNTIF('Treatment Tracker'!$B$6:$B$105,A30)-COUNTIFS('Treatment Tracker'!$B$6:$B$105,A30,'Treatment Tracker'!$H$6:$H$105,"Completed")-COUNTIFS('Treatment Tracker'!$B$6:$B$105,A30,'Treatment Tracker'!$H$6:$H$105,"Cancelled"))</f>
        <v/>
      </c>
      <c r="AD30" s="38" t="str">
        <f t="shared" si="12"/>
        <v/>
      </c>
      <c r="AE30" s="35"/>
      <c r="AF30" s="35"/>
      <c r="AG30" s="40"/>
      <c r="AH30" s="35"/>
      <c r="AI30" s="38" t="str">
        <f>IF(A30="","",IF(OR(K30="",L30=""),"No assessment",IF(OR(NOT(ISNUMBER(K30)),NOT(ISNUMBER(L30))),"Invalid residual ratings",IF(OR(K30&lt;1,K30&gt;5,L30&lt;1,L30&gt;5,INT(K30)&lt;&gt;K30,INT(L30)&lt;&gt;L30),"Invalid residual ratings",IF(OR(AE30="",AF30="",AG30="",AH30=""),"Incomplete evidence",IF(NOT(ISNUMBER(AG30)),"Invalid assessment date",IF(OR(AG30&gt;Methodology!$B$4,AG30&lt;=0),"Invalid assessment date",IF(AG30+Methodology!$B$3&lt;Methodology!$B$4,"Expired",IF(AL30&lt;&gt;"Approved","Approval not confirmed","Valid")))))))))</f>
        <v/>
      </c>
      <c r="AJ30" s="38" t="str">
        <f>IF(OR(F30="",G30=""),"",MAX(1,ROUND(F30*(1-IFERROR(INDEX(Methodology!$B$41:$B$44,MATCH(J30,Methodology!$A$41:$A$44,0)),0)),0))*G30)</f>
        <v/>
      </c>
      <c r="AK30" s="38" t="str">
        <f t="shared" si="13"/>
        <v/>
      </c>
      <c r="AL30" s="36"/>
    </row>
    <row r="31" spans="1:38" x14ac:dyDescent="0.35">
      <c r="A31" s="35"/>
      <c r="B31" s="24"/>
      <c r="C31" s="24"/>
      <c r="D31" s="35"/>
      <c r="E31" s="35"/>
      <c r="F31" s="36"/>
      <c r="G31" s="36"/>
      <c r="H31" s="37" t="str">
        <f t="shared" si="7"/>
        <v/>
      </c>
      <c r="I31" s="38" t="str">
        <f>IF(NOT(ISNUMBER(H31)),"",INDEX(Methodology!$B$26:$B$29,MATCH(H31,Methodology!$A$26:$A$29,1)))</f>
        <v/>
      </c>
      <c r="J31" s="35"/>
      <c r="K31" s="36"/>
      <c r="L31" s="36"/>
      <c r="M31" s="37" t="str">
        <f t="shared" si="8"/>
        <v/>
      </c>
      <c r="N31" s="37" t="str">
        <f t="shared" si="9"/>
        <v/>
      </c>
      <c r="O31" s="37" t="str">
        <f t="shared" si="10"/>
        <v/>
      </c>
      <c r="P31" s="38" t="str">
        <f>IF(O31="","",INDEX(Methodology!$B$26:$B$29,MATCH(O31,Methodology!$A$26:$A$29,1)))</f>
        <v/>
      </c>
      <c r="Q31" s="36"/>
      <c r="R31" s="37" t="str">
        <f t="shared" si="11"/>
        <v/>
      </c>
      <c r="S31" s="37" t="str">
        <f>IF(D31="","",IFERROR(IF(OR(INDEX(Appetite!$I$6:$I$17,MATCH(D31,Appetite!$A$6:$A$17,0))="OK",INDEX(Appetite!$I$6:$I$17,MATCH(D31,Appetite!$A$6:$A$17,0))="Review overdue - approved"),INDEX(Appetite!$C$6:$C$17,MATCH(D31,Appetite!$A$6:$A$17,0)),""),""))</f>
        <v/>
      </c>
      <c r="T31" s="37" t="str">
        <f>IF(D31="","",IFERROR(IF(OR(INDEX(Appetite!$I$6:$I$17,MATCH(D31,Appetite!$A$6:$A$17,0))="OK",INDEX(Appetite!$I$6:$I$17,MATCH(D31,Appetite!$A$6:$A$17,0))="Review overdue - approved"),INDEX(Appetite!$D$6:$D$17,MATCH(D31,Appetite!$A$6:$A$17,0)),""),""))</f>
        <v/>
      </c>
      <c r="U31" s="38" t="str">
        <f>IF(A31="","",IF(H31="Invalid inherent ratings","Invalid inherent ratings",IF(O31="","Assessment missing",IF(COUNTIF(Appetite!$A$6:$A$17,D31)=0,"Configuration missing",IF(OR(S31="",T31=""),"Configuration: "&amp;INDEX(Appetite!$I$6:$I$17,MATCH(D31,Appetite!$A$6:$A$17,0)),IF(O31&gt;T31,"Tolerance breach",IF(O31&gt;S31,"Appetite breach","Within appetite")))))))</f>
        <v/>
      </c>
      <c r="V31" s="38" t="str">
        <f>IF(A31="","",IF(COUNTIFS('Risk Acceptance Register'!$B$6:$B$105,A31,'Risk Acceptance Register'!$I$6:$I$105,"Approved")&gt;0,"Yes","No"))</f>
        <v/>
      </c>
      <c r="W31" s="38" t="str">
        <f>IF(V31&lt;&gt;"Yes","",IFERROR(IF(COUNTIFS('Risk Acceptance Register'!$B$6:$B$105,A31,'Risk Acceptance Register'!$T$6:$T$105,"Eligible")&gt;0,LOOKUP(2,1/(('Risk Acceptance Register'!$B$6:$B$105=A31)*('Risk Acceptance Register'!$T$6:$T$105="Eligible")),'Risk Acceptance Register'!$J$6:$J$105),LOOKUP(2,1/(('Risk Acceptance Register'!$B$6:$B$105=A31)*('Risk Acceptance Register'!$I$6:$I$105="Approved")),'Risk Acceptance Register'!$J$6:$J$105))&amp;"",""))</f>
        <v/>
      </c>
      <c r="X31" s="39" t="str">
        <f>IF(V31&lt;&gt;"Yes","",IFERROR(IF(IF(COUNTIFS('Risk Acceptance Register'!$B$6:$B$105,A31,'Risk Acceptance Register'!$T$6:$T$105,"Eligible")&gt;0,LOOKUP(2,1/(('Risk Acceptance Register'!$B$6:$B$105=A31)*('Risk Acceptance Register'!$T$6:$T$105="Eligible")),'Risk Acceptance Register'!$M$6:$M$105),LOOKUP(2,1/(('Risk Acceptance Register'!$B$6:$B$105=A31)*('Risk Acceptance Register'!$I$6:$I$105="Approved")),'Risk Acceptance Register'!$M$6:$M$105))=0,"",IF(COUNTIFS('Risk Acceptance Register'!$B$6:$B$105,A31,'Risk Acceptance Register'!$T$6:$T$105,"Eligible")&gt;0,LOOKUP(2,1/(('Risk Acceptance Register'!$B$6:$B$105=A31)*('Risk Acceptance Register'!$T$6:$T$105="Eligible")),'Risk Acceptance Register'!$M$6:$M$105),LOOKUP(2,1/(('Risk Acceptance Register'!$B$6:$B$105=A31)*('Risk Acceptance Register'!$I$6:$I$105="Approved")),'Risk Acceptance Register'!$M$6:$M$105))),""))</f>
        <v/>
      </c>
      <c r="Y31" s="38" t="str">
        <f>IF(A31="","",IF(U31="Within appetite","Within appetite",IF(AND(U31&lt;&gt;"Appetite breach",U31&lt;&gt;"Tolerance breach"),U31,IF(COUNTIFS('Risk Acceptance Register'!$B$6:$B$105,A31,'Risk Acceptance Register'!$T$6:$T$105,"Eligible")&gt;0,"Breach - formally accepted",IF(V31="Yes",IF(X31="","Accepted - expiry not set",IF(X31&lt;Methodology!$B$4,"Acceptance expired - breach open","Breach - not accepted")),"Breach - not accepted")))))</f>
        <v/>
      </c>
      <c r="Z31" s="40"/>
      <c r="AA31" s="38" t="str">
        <f>IF(OR(A31="",Z31=""),"",IF(Z31&lt;Methodology!$B$4,"Overdue","On schedule"))</f>
        <v/>
      </c>
      <c r="AB31" s="38" t="str">
        <f>IF(OR(U31="",U31="Within appetite"),"",MAX(AB$5:AB30)+1)</f>
        <v/>
      </c>
      <c r="AC31" s="38" t="str">
        <f>IF(A31="","",COUNTIF('Treatment Tracker'!$B$6:$B$105,A31)-COUNTIFS('Treatment Tracker'!$B$6:$B$105,A31,'Treatment Tracker'!$H$6:$H$105,"Completed")-COUNTIFS('Treatment Tracker'!$B$6:$B$105,A31,'Treatment Tracker'!$H$6:$H$105,"Cancelled"))</f>
        <v/>
      </c>
      <c r="AD31" s="38" t="str">
        <f t="shared" si="12"/>
        <v/>
      </c>
      <c r="AE31" s="35"/>
      <c r="AF31" s="35"/>
      <c r="AG31" s="40"/>
      <c r="AH31" s="35"/>
      <c r="AI31" s="38" t="str">
        <f>IF(A31="","",IF(OR(K31="",L31=""),"No assessment",IF(OR(NOT(ISNUMBER(K31)),NOT(ISNUMBER(L31))),"Invalid residual ratings",IF(OR(K31&lt;1,K31&gt;5,L31&lt;1,L31&gt;5,INT(K31)&lt;&gt;K31,INT(L31)&lt;&gt;L31),"Invalid residual ratings",IF(OR(AE31="",AF31="",AG31="",AH31=""),"Incomplete evidence",IF(NOT(ISNUMBER(AG31)),"Invalid assessment date",IF(OR(AG31&gt;Methodology!$B$4,AG31&lt;=0),"Invalid assessment date",IF(AG31+Methodology!$B$3&lt;Methodology!$B$4,"Expired",IF(AL31&lt;&gt;"Approved","Approval not confirmed","Valid")))))))))</f>
        <v/>
      </c>
      <c r="AJ31" s="38" t="str">
        <f>IF(OR(F31="",G31=""),"",MAX(1,ROUND(F31*(1-IFERROR(INDEX(Methodology!$B$41:$B$44,MATCH(J31,Methodology!$A$41:$A$44,0)),0)),0))*G31)</f>
        <v/>
      </c>
      <c r="AK31" s="38" t="str">
        <f t="shared" si="13"/>
        <v/>
      </c>
      <c r="AL31" s="36"/>
    </row>
    <row r="32" spans="1:38" x14ac:dyDescent="0.35">
      <c r="A32" s="35"/>
      <c r="B32" s="24"/>
      <c r="C32" s="24"/>
      <c r="D32" s="35"/>
      <c r="E32" s="35"/>
      <c r="F32" s="36"/>
      <c r="G32" s="36"/>
      <c r="H32" s="37" t="str">
        <f t="shared" si="7"/>
        <v/>
      </c>
      <c r="I32" s="38" t="str">
        <f>IF(NOT(ISNUMBER(H32)),"",INDEX(Methodology!$B$26:$B$29,MATCH(H32,Methodology!$A$26:$A$29,1)))</f>
        <v/>
      </c>
      <c r="J32" s="35"/>
      <c r="K32" s="36"/>
      <c r="L32" s="36"/>
      <c r="M32" s="37" t="str">
        <f t="shared" si="8"/>
        <v/>
      </c>
      <c r="N32" s="37" t="str">
        <f t="shared" si="9"/>
        <v/>
      </c>
      <c r="O32" s="37" t="str">
        <f t="shared" si="10"/>
        <v/>
      </c>
      <c r="P32" s="38" t="str">
        <f>IF(O32="","",INDEX(Methodology!$B$26:$B$29,MATCH(O32,Methodology!$A$26:$A$29,1)))</f>
        <v/>
      </c>
      <c r="Q32" s="36"/>
      <c r="R32" s="37" t="str">
        <f t="shared" si="11"/>
        <v/>
      </c>
      <c r="S32" s="37" t="str">
        <f>IF(D32="","",IFERROR(IF(OR(INDEX(Appetite!$I$6:$I$17,MATCH(D32,Appetite!$A$6:$A$17,0))="OK",INDEX(Appetite!$I$6:$I$17,MATCH(D32,Appetite!$A$6:$A$17,0))="Review overdue - approved"),INDEX(Appetite!$C$6:$C$17,MATCH(D32,Appetite!$A$6:$A$17,0)),""),""))</f>
        <v/>
      </c>
      <c r="T32" s="37" t="str">
        <f>IF(D32="","",IFERROR(IF(OR(INDEX(Appetite!$I$6:$I$17,MATCH(D32,Appetite!$A$6:$A$17,0))="OK",INDEX(Appetite!$I$6:$I$17,MATCH(D32,Appetite!$A$6:$A$17,0))="Review overdue - approved"),INDEX(Appetite!$D$6:$D$17,MATCH(D32,Appetite!$A$6:$A$17,0)),""),""))</f>
        <v/>
      </c>
      <c r="U32" s="38" t="str">
        <f>IF(A32="","",IF(H32="Invalid inherent ratings","Invalid inherent ratings",IF(O32="","Assessment missing",IF(COUNTIF(Appetite!$A$6:$A$17,D32)=0,"Configuration missing",IF(OR(S32="",T32=""),"Configuration: "&amp;INDEX(Appetite!$I$6:$I$17,MATCH(D32,Appetite!$A$6:$A$17,0)),IF(O32&gt;T32,"Tolerance breach",IF(O32&gt;S32,"Appetite breach","Within appetite")))))))</f>
        <v/>
      </c>
      <c r="V32" s="38" t="str">
        <f>IF(A32="","",IF(COUNTIFS('Risk Acceptance Register'!$B$6:$B$105,A32,'Risk Acceptance Register'!$I$6:$I$105,"Approved")&gt;0,"Yes","No"))</f>
        <v/>
      </c>
      <c r="W32" s="38" t="str">
        <f>IF(V32&lt;&gt;"Yes","",IFERROR(IF(COUNTIFS('Risk Acceptance Register'!$B$6:$B$105,A32,'Risk Acceptance Register'!$T$6:$T$105,"Eligible")&gt;0,LOOKUP(2,1/(('Risk Acceptance Register'!$B$6:$B$105=A32)*('Risk Acceptance Register'!$T$6:$T$105="Eligible")),'Risk Acceptance Register'!$J$6:$J$105),LOOKUP(2,1/(('Risk Acceptance Register'!$B$6:$B$105=A32)*('Risk Acceptance Register'!$I$6:$I$105="Approved")),'Risk Acceptance Register'!$J$6:$J$105))&amp;"",""))</f>
        <v/>
      </c>
      <c r="X32" s="39" t="str">
        <f>IF(V32&lt;&gt;"Yes","",IFERROR(IF(IF(COUNTIFS('Risk Acceptance Register'!$B$6:$B$105,A32,'Risk Acceptance Register'!$T$6:$T$105,"Eligible")&gt;0,LOOKUP(2,1/(('Risk Acceptance Register'!$B$6:$B$105=A32)*('Risk Acceptance Register'!$T$6:$T$105="Eligible")),'Risk Acceptance Register'!$M$6:$M$105),LOOKUP(2,1/(('Risk Acceptance Register'!$B$6:$B$105=A32)*('Risk Acceptance Register'!$I$6:$I$105="Approved")),'Risk Acceptance Register'!$M$6:$M$105))=0,"",IF(COUNTIFS('Risk Acceptance Register'!$B$6:$B$105,A32,'Risk Acceptance Register'!$T$6:$T$105,"Eligible")&gt;0,LOOKUP(2,1/(('Risk Acceptance Register'!$B$6:$B$105=A32)*('Risk Acceptance Register'!$T$6:$T$105="Eligible")),'Risk Acceptance Register'!$M$6:$M$105),LOOKUP(2,1/(('Risk Acceptance Register'!$B$6:$B$105=A32)*('Risk Acceptance Register'!$I$6:$I$105="Approved")),'Risk Acceptance Register'!$M$6:$M$105))),""))</f>
        <v/>
      </c>
      <c r="Y32" s="38" t="str">
        <f>IF(A32="","",IF(U32="Within appetite","Within appetite",IF(AND(U32&lt;&gt;"Appetite breach",U32&lt;&gt;"Tolerance breach"),U32,IF(COUNTIFS('Risk Acceptance Register'!$B$6:$B$105,A32,'Risk Acceptance Register'!$T$6:$T$105,"Eligible")&gt;0,"Breach - formally accepted",IF(V32="Yes",IF(X32="","Accepted - expiry not set",IF(X32&lt;Methodology!$B$4,"Acceptance expired - breach open","Breach - not accepted")),"Breach - not accepted")))))</f>
        <v/>
      </c>
      <c r="Z32" s="40"/>
      <c r="AA32" s="38" t="str">
        <f>IF(OR(A32="",Z32=""),"",IF(Z32&lt;Methodology!$B$4,"Overdue","On schedule"))</f>
        <v/>
      </c>
      <c r="AB32" s="38" t="str">
        <f>IF(OR(U32="",U32="Within appetite"),"",MAX(AB$5:AB31)+1)</f>
        <v/>
      </c>
      <c r="AC32" s="38" t="str">
        <f>IF(A32="","",COUNTIF('Treatment Tracker'!$B$6:$B$105,A32)-COUNTIFS('Treatment Tracker'!$B$6:$B$105,A32,'Treatment Tracker'!$H$6:$H$105,"Completed")-COUNTIFS('Treatment Tracker'!$B$6:$B$105,A32,'Treatment Tracker'!$H$6:$H$105,"Cancelled"))</f>
        <v/>
      </c>
      <c r="AD32" s="38" t="str">
        <f t="shared" si="12"/>
        <v/>
      </c>
      <c r="AE32" s="35"/>
      <c r="AF32" s="35"/>
      <c r="AG32" s="40"/>
      <c r="AH32" s="35"/>
      <c r="AI32" s="38" t="str">
        <f>IF(A32="","",IF(OR(K32="",L32=""),"No assessment",IF(OR(NOT(ISNUMBER(K32)),NOT(ISNUMBER(L32))),"Invalid residual ratings",IF(OR(K32&lt;1,K32&gt;5,L32&lt;1,L32&gt;5,INT(K32)&lt;&gt;K32,INT(L32)&lt;&gt;L32),"Invalid residual ratings",IF(OR(AE32="",AF32="",AG32="",AH32=""),"Incomplete evidence",IF(NOT(ISNUMBER(AG32)),"Invalid assessment date",IF(OR(AG32&gt;Methodology!$B$4,AG32&lt;=0),"Invalid assessment date",IF(AG32+Methodology!$B$3&lt;Methodology!$B$4,"Expired",IF(AL32&lt;&gt;"Approved","Approval not confirmed","Valid")))))))))</f>
        <v/>
      </c>
      <c r="AJ32" s="38" t="str">
        <f>IF(OR(F32="",G32=""),"",MAX(1,ROUND(F32*(1-IFERROR(INDEX(Methodology!$B$41:$B$44,MATCH(J32,Methodology!$A$41:$A$44,0)),0)),0))*G32)</f>
        <v/>
      </c>
      <c r="AK32" s="38" t="str">
        <f t="shared" si="13"/>
        <v/>
      </c>
      <c r="AL32" s="36"/>
    </row>
    <row r="33" spans="1:38" x14ac:dyDescent="0.35">
      <c r="A33" s="35"/>
      <c r="B33" s="24"/>
      <c r="C33" s="24"/>
      <c r="D33" s="35"/>
      <c r="E33" s="35"/>
      <c r="F33" s="36"/>
      <c r="G33" s="36"/>
      <c r="H33" s="37" t="str">
        <f t="shared" si="7"/>
        <v/>
      </c>
      <c r="I33" s="38" t="str">
        <f>IF(NOT(ISNUMBER(H33)),"",INDEX(Methodology!$B$26:$B$29,MATCH(H33,Methodology!$A$26:$A$29,1)))</f>
        <v/>
      </c>
      <c r="J33" s="35"/>
      <c r="K33" s="36"/>
      <c r="L33" s="36"/>
      <c r="M33" s="37" t="str">
        <f t="shared" si="8"/>
        <v/>
      </c>
      <c r="N33" s="37" t="str">
        <f t="shared" si="9"/>
        <v/>
      </c>
      <c r="O33" s="37" t="str">
        <f t="shared" si="10"/>
        <v/>
      </c>
      <c r="P33" s="38" t="str">
        <f>IF(O33="","",INDEX(Methodology!$B$26:$B$29,MATCH(O33,Methodology!$A$26:$A$29,1)))</f>
        <v/>
      </c>
      <c r="Q33" s="36"/>
      <c r="R33" s="37" t="str">
        <f t="shared" si="11"/>
        <v/>
      </c>
      <c r="S33" s="37" t="str">
        <f>IF(D33="","",IFERROR(IF(OR(INDEX(Appetite!$I$6:$I$17,MATCH(D33,Appetite!$A$6:$A$17,0))="OK",INDEX(Appetite!$I$6:$I$17,MATCH(D33,Appetite!$A$6:$A$17,0))="Review overdue - approved"),INDEX(Appetite!$C$6:$C$17,MATCH(D33,Appetite!$A$6:$A$17,0)),""),""))</f>
        <v/>
      </c>
      <c r="T33" s="37" t="str">
        <f>IF(D33="","",IFERROR(IF(OR(INDEX(Appetite!$I$6:$I$17,MATCH(D33,Appetite!$A$6:$A$17,0))="OK",INDEX(Appetite!$I$6:$I$17,MATCH(D33,Appetite!$A$6:$A$17,0))="Review overdue - approved"),INDEX(Appetite!$D$6:$D$17,MATCH(D33,Appetite!$A$6:$A$17,0)),""),""))</f>
        <v/>
      </c>
      <c r="U33" s="38" t="str">
        <f>IF(A33="","",IF(H33="Invalid inherent ratings","Invalid inherent ratings",IF(O33="","Assessment missing",IF(COUNTIF(Appetite!$A$6:$A$17,D33)=0,"Configuration missing",IF(OR(S33="",T33=""),"Configuration: "&amp;INDEX(Appetite!$I$6:$I$17,MATCH(D33,Appetite!$A$6:$A$17,0)),IF(O33&gt;T33,"Tolerance breach",IF(O33&gt;S33,"Appetite breach","Within appetite")))))))</f>
        <v/>
      </c>
      <c r="V33" s="38" t="str">
        <f>IF(A33="","",IF(COUNTIFS('Risk Acceptance Register'!$B$6:$B$105,A33,'Risk Acceptance Register'!$I$6:$I$105,"Approved")&gt;0,"Yes","No"))</f>
        <v/>
      </c>
      <c r="W33" s="38" t="str">
        <f>IF(V33&lt;&gt;"Yes","",IFERROR(IF(COUNTIFS('Risk Acceptance Register'!$B$6:$B$105,A33,'Risk Acceptance Register'!$T$6:$T$105,"Eligible")&gt;0,LOOKUP(2,1/(('Risk Acceptance Register'!$B$6:$B$105=A33)*('Risk Acceptance Register'!$T$6:$T$105="Eligible")),'Risk Acceptance Register'!$J$6:$J$105),LOOKUP(2,1/(('Risk Acceptance Register'!$B$6:$B$105=A33)*('Risk Acceptance Register'!$I$6:$I$105="Approved")),'Risk Acceptance Register'!$J$6:$J$105))&amp;"",""))</f>
        <v/>
      </c>
      <c r="X33" s="39" t="str">
        <f>IF(V33&lt;&gt;"Yes","",IFERROR(IF(IF(COUNTIFS('Risk Acceptance Register'!$B$6:$B$105,A33,'Risk Acceptance Register'!$T$6:$T$105,"Eligible")&gt;0,LOOKUP(2,1/(('Risk Acceptance Register'!$B$6:$B$105=A33)*('Risk Acceptance Register'!$T$6:$T$105="Eligible")),'Risk Acceptance Register'!$M$6:$M$105),LOOKUP(2,1/(('Risk Acceptance Register'!$B$6:$B$105=A33)*('Risk Acceptance Register'!$I$6:$I$105="Approved")),'Risk Acceptance Register'!$M$6:$M$105))=0,"",IF(COUNTIFS('Risk Acceptance Register'!$B$6:$B$105,A33,'Risk Acceptance Register'!$T$6:$T$105,"Eligible")&gt;0,LOOKUP(2,1/(('Risk Acceptance Register'!$B$6:$B$105=A33)*('Risk Acceptance Register'!$T$6:$T$105="Eligible")),'Risk Acceptance Register'!$M$6:$M$105),LOOKUP(2,1/(('Risk Acceptance Register'!$B$6:$B$105=A33)*('Risk Acceptance Register'!$I$6:$I$105="Approved")),'Risk Acceptance Register'!$M$6:$M$105))),""))</f>
        <v/>
      </c>
      <c r="Y33" s="38" t="str">
        <f>IF(A33="","",IF(U33="Within appetite","Within appetite",IF(AND(U33&lt;&gt;"Appetite breach",U33&lt;&gt;"Tolerance breach"),U33,IF(COUNTIFS('Risk Acceptance Register'!$B$6:$B$105,A33,'Risk Acceptance Register'!$T$6:$T$105,"Eligible")&gt;0,"Breach - formally accepted",IF(V33="Yes",IF(X33="","Accepted - expiry not set",IF(X33&lt;Methodology!$B$4,"Acceptance expired - breach open","Breach - not accepted")),"Breach - not accepted")))))</f>
        <v/>
      </c>
      <c r="Z33" s="40"/>
      <c r="AA33" s="38" t="str">
        <f>IF(OR(A33="",Z33=""),"",IF(Z33&lt;Methodology!$B$4,"Overdue","On schedule"))</f>
        <v/>
      </c>
      <c r="AB33" s="38" t="str">
        <f>IF(OR(U33="",U33="Within appetite"),"",MAX(AB$5:AB32)+1)</f>
        <v/>
      </c>
      <c r="AC33" s="38" t="str">
        <f>IF(A33="","",COUNTIF('Treatment Tracker'!$B$6:$B$105,A33)-COUNTIFS('Treatment Tracker'!$B$6:$B$105,A33,'Treatment Tracker'!$H$6:$H$105,"Completed")-COUNTIFS('Treatment Tracker'!$B$6:$B$105,A33,'Treatment Tracker'!$H$6:$H$105,"Cancelled"))</f>
        <v/>
      </c>
      <c r="AD33" s="38" t="str">
        <f t="shared" si="12"/>
        <v/>
      </c>
      <c r="AE33" s="35"/>
      <c r="AF33" s="35"/>
      <c r="AG33" s="40"/>
      <c r="AH33" s="35"/>
      <c r="AI33" s="38" t="str">
        <f>IF(A33="","",IF(OR(K33="",L33=""),"No assessment",IF(OR(NOT(ISNUMBER(K33)),NOT(ISNUMBER(L33))),"Invalid residual ratings",IF(OR(K33&lt;1,K33&gt;5,L33&lt;1,L33&gt;5,INT(K33)&lt;&gt;K33,INT(L33)&lt;&gt;L33),"Invalid residual ratings",IF(OR(AE33="",AF33="",AG33="",AH33=""),"Incomplete evidence",IF(NOT(ISNUMBER(AG33)),"Invalid assessment date",IF(OR(AG33&gt;Methodology!$B$4,AG33&lt;=0),"Invalid assessment date",IF(AG33+Methodology!$B$3&lt;Methodology!$B$4,"Expired",IF(AL33&lt;&gt;"Approved","Approval not confirmed","Valid")))))))))</f>
        <v/>
      </c>
      <c r="AJ33" s="38" t="str">
        <f>IF(OR(F33="",G33=""),"",MAX(1,ROUND(F33*(1-IFERROR(INDEX(Methodology!$B$41:$B$44,MATCH(J33,Methodology!$A$41:$A$44,0)),0)),0))*G33)</f>
        <v/>
      </c>
      <c r="AK33" s="38" t="str">
        <f t="shared" si="13"/>
        <v/>
      </c>
      <c r="AL33" s="36"/>
    </row>
    <row r="34" spans="1:38" x14ac:dyDescent="0.35">
      <c r="A34" s="35"/>
      <c r="B34" s="24"/>
      <c r="C34" s="24"/>
      <c r="D34" s="35"/>
      <c r="E34" s="35"/>
      <c r="F34" s="36"/>
      <c r="G34" s="36"/>
      <c r="H34" s="37" t="str">
        <f t="shared" si="7"/>
        <v/>
      </c>
      <c r="I34" s="38" t="str">
        <f>IF(NOT(ISNUMBER(H34)),"",INDEX(Methodology!$B$26:$B$29,MATCH(H34,Methodology!$A$26:$A$29,1)))</f>
        <v/>
      </c>
      <c r="J34" s="35"/>
      <c r="K34" s="36"/>
      <c r="L34" s="36"/>
      <c r="M34" s="37" t="str">
        <f t="shared" si="8"/>
        <v/>
      </c>
      <c r="N34" s="37" t="str">
        <f t="shared" si="9"/>
        <v/>
      </c>
      <c r="O34" s="37" t="str">
        <f t="shared" si="10"/>
        <v/>
      </c>
      <c r="P34" s="38" t="str">
        <f>IF(O34="","",INDEX(Methodology!$B$26:$B$29,MATCH(O34,Methodology!$A$26:$A$29,1)))</f>
        <v/>
      </c>
      <c r="Q34" s="36"/>
      <c r="R34" s="37" t="str">
        <f t="shared" si="11"/>
        <v/>
      </c>
      <c r="S34" s="37" t="str">
        <f>IF(D34="","",IFERROR(IF(OR(INDEX(Appetite!$I$6:$I$17,MATCH(D34,Appetite!$A$6:$A$17,0))="OK",INDEX(Appetite!$I$6:$I$17,MATCH(D34,Appetite!$A$6:$A$17,0))="Review overdue - approved"),INDEX(Appetite!$C$6:$C$17,MATCH(D34,Appetite!$A$6:$A$17,0)),""),""))</f>
        <v/>
      </c>
      <c r="T34" s="37" t="str">
        <f>IF(D34="","",IFERROR(IF(OR(INDEX(Appetite!$I$6:$I$17,MATCH(D34,Appetite!$A$6:$A$17,0))="OK",INDEX(Appetite!$I$6:$I$17,MATCH(D34,Appetite!$A$6:$A$17,0))="Review overdue - approved"),INDEX(Appetite!$D$6:$D$17,MATCH(D34,Appetite!$A$6:$A$17,0)),""),""))</f>
        <v/>
      </c>
      <c r="U34" s="38" t="str">
        <f>IF(A34="","",IF(H34="Invalid inherent ratings","Invalid inherent ratings",IF(O34="","Assessment missing",IF(COUNTIF(Appetite!$A$6:$A$17,D34)=0,"Configuration missing",IF(OR(S34="",T34=""),"Configuration: "&amp;INDEX(Appetite!$I$6:$I$17,MATCH(D34,Appetite!$A$6:$A$17,0)),IF(O34&gt;T34,"Tolerance breach",IF(O34&gt;S34,"Appetite breach","Within appetite")))))))</f>
        <v/>
      </c>
      <c r="V34" s="38" t="str">
        <f>IF(A34="","",IF(COUNTIFS('Risk Acceptance Register'!$B$6:$B$105,A34,'Risk Acceptance Register'!$I$6:$I$105,"Approved")&gt;0,"Yes","No"))</f>
        <v/>
      </c>
      <c r="W34" s="38" t="str">
        <f>IF(V34&lt;&gt;"Yes","",IFERROR(IF(COUNTIFS('Risk Acceptance Register'!$B$6:$B$105,A34,'Risk Acceptance Register'!$T$6:$T$105,"Eligible")&gt;0,LOOKUP(2,1/(('Risk Acceptance Register'!$B$6:$B$105=A34)*('Risk Acceptance Register'!$T$6:$T$105="Eligible")),'Risk Acceptance Register'!$J$6:$J$105),LOOKUP(2,1/(('Risk Acceptance Register'!$B$6:$B$105=A34)*('Risk Acceptance Register'!$I$6:$I$105="Approved")),'Risk Acceptance Register'!$J$6:$J$105))&amp;"",""))</f>
        <v/>
      </c>
      <c r="X34" s="39" t="str">
        <f>IF(V34&lt;&gt;"Yes","",IFERROR(IF(IF(COUNTIFS('Risk Acceptance Register'!$B$6:$B$105,A34,'Risk Acceptance Register'!$T$6:$T$105,"Eligible")&gt;0,LOOKUP(2,1/(('Risk Acceptance Register'!$B$6:$B$105=A34)*('Risk Acceptance Register'!$T$6:$T$105="Eligible")),'Risk Acceptance Register'!$M$6:$M$105),LOOKUP(2,1/(('Risk Acceptance Register'!$B$6:$B$105=A34)*('Risk Acceptance Register'!$I$6:$I$105="Approved")),'Risk Acceptance Register'!$M$6:$M$105))=0,"",IF(COUNTIFS('Risk Acceptance Register'!$B$6:$B$105,A34,'Risk Acceptance Register'!$T$6:$T$105,"Eligible")&gt;0,LOOKUP(2,1/(('Risk Acceptance Register'!$B$6:$B$105=A34)*('Risk Acceptance Register'!$T$6:$T$105="Eligible")),'Risk Acceptance Register'!$M$6:$M$105),LOOKUP(2,1/(('Risk Acceptance Register'!$B$6:$B$105=A34)*('Risk Acceptance Register'!$I$6:$I$105="Approved")),'Risk Acceptance Register'!$M$6:$M$105))),""))</f>
        <v/>
      </c>
      <c r="Y34" s="38" t="str">
        <f>IF(A34="","",IF(U34="Within appetite","Within appetite",IF(AND(U34&lt;&gt;"Appetite breach",U34&lt;&gt;"Tolerance breach"),U34,IF(COUNTIFS('Risk Acceptance Register'!$B$6:$B$105,A34,'Risk Acceptance Register'!$T$6:$T$105,"Eligible")&gt;0,"Breach - formally accepted",IF(V34="Yes",IF(X34="","Accepted - expiry not set",IF(X34&lt;Methodology!$B$4,"Acceptance expired - breach open","Breach - not accepted")),"Breach - not accepted")))))</f>
        <v/>
      </c>
      <c r="Z34" s="40"/>
      <c r="AA34" s="38" t="str">
        <f>IF(OR(A34="",Z34=""),"",IF(Z34&lt;Methodology!$B$4,"Overdue","On schedule"))</f>
        <v/>
      </c>
      <c r="AB34" s="38" t="str">
        <f>IF(OR(U34="",U34="Within appetite"),"",MAX(AB$5:AB33)+1)</f>
        <v/>
      </c>
      <c r="AC34" s="38" t="str">
        <f>IF(A34="","",COUNTIF('Treatment Tracker'!$B$6:$B$105,A34)-COUNTIFS('Treatment Tracker'!$B$6:$B$105,A34,'Treatment Tracker'!$H$6:$H$105,"Completed")-COUNTIFS('Treatment Tracker'!$B$6:$B$105,A34,'Treatment Tracker'!$H$6:$H$105,"Cancelled"))</f>
        <v/>
      </c>
      <c r="AD34" s="38" t="str">
        <f t="shared" si="12"/>
        <v/>
      </c>
      <c r="AE34" s="35"/>
      <c r="AF34" s="35"/>
      <c r="AG34" s="40"/>
      <c r="AH34" s="35"/>
      <c r="AI34" s="38" t="str">
        <f>IF(A34="","",IF(OR(K34="",L34=""),"No assessment",IF(OR(NOT(ISNUMBER(K34)),NOT(ISNUMBER(L34))),"Invalid residual ratings",IF(OR(K34&lt;1,K34&gt;5,L34&lt;1,L34&gt;5,INT(K34)&lt;&gt;K34,INT(L34)&lt;&gt;L34),"Invalid residual ratings",IF(OR(AE34="",AF34="",AG34="",AH34=""),"Incomplete evidence",IF(NOT(ISNUMBER(AG34)),"Invalid assessment date",IF(OR(AG34&gt;Methodology!$B$4,AG34&lt;=0),"Invalid assessment date",IF(AG34+Methodology!$B$3&lt;Methodology!$B$4,"Expired",IF(AL34&lt;&gt;"Approved","Approval not confirmed","Valid")))))))))</f>
        <v/>
      </c>
      <c r="AJ34" s="38" t="str">
        <f>IF(OR(F34="",G34=""),"",MAX(1,ROUND(F34*(1-IFERROR(INDEX(Methodology!$B$41:$B$44,MATCH(J34,Methodology!$A$41:$A$44,0)),0)),0))*G34)</f>
        <v/>
      </c>
      <c r="AK34" s="38" t="str">
        <f t="shared" si="13"/>
        <v/>
      </c>
      <c r="AL34" s="36"/>
    </row>
    <row r="35" spans="1:38" x14ac:dyDescent="0.35">
      <c r="A35" s="35"/>
      <c r="B35" s="24"/>
      <c r="C35" s="24"/>
      <c r="D35" s="35"/>
      <c r="E35" s="35"/>
      <c r="F35" s="36"/>
      <c r="G35" s="36"/>
      <c r="H35" s="37" t="str">
        <f t="shared" si="7"/>
        <v/>
      </c>
      <c r="I35" s="38" t="str">
        <f>IF(NOT(ISNUMBER(H35)),"",INDEX(Methodology!$B$26:$B$29,MATCH(H35,Methodology!$A$26:$A$29,1)))</f>
        <v/>
      </c>
      <c r="J35" s="35"/>
      <c r="K35" s="36"/>
      <c r="L35" s="36"/>
      <c r="M35" s="37" t="str">
        <f t="shared" si="8"/>
        <v/>
      </c>
      <c r="N35" s="37" t="str">
        <f t="shared" si="9"/>
        <v/>
      </c>
      <c r="O35" s="37" t="str">
        <f t="shared" si="10"/>
        <v/>
      </c>
      <c r="P35" s="38" t="str">
        <f>IF(O35="","",INDEX(Methodology!$B$26:$B$29,MATCH(O35,Methodology!$A$26:$A$29,1)))</f>
        <v/>
      </c>
      <c r="Q35" s="36"/>
      <c r="R35" s="37" t="str">
        <f t="shared" si="11"/>
        <v/>
      </c>
      <c r="S35" s="37" t="str">
        <f>IF(D35="","",IFERROR(IF(OR(INDEX(Appetite!$I$6:$I$17,MATCH(D35,Appetite!$A$6:$A$17,0))="OK",INDEX(Appetite!$I$6:$I$17,MATCH(D35,Appetite!$A$6:$A$17,0))="Review overdue - approved"),INDEX(Appetite!$C$6:$C$17,MATCH(D35,Appetite!$A$6:$A$17,0)),""),""))</f>
        <v/>
      </c>
      <c r="T35" s="37" t="str">
        <f>IF(D35="","",IFERROR(IF(OR(INDEX(Appetite!$I$6:$I$17,MATCH(D35,Appetite!$A$6:$A$17,0))="OK",INDEX(Appetite!$I$6:$I$17,MATCH(D35,Appetite!$A$6:$A$17,0))="Review overdue - approved"),INDEX(Appetite!$D$6:$D$17,MATCH(D35,Appetite!$A$6:$A$17,0)),""),""))</f>
        <v/>
      </c>
      <c r="U35" s="38" t="str">
        <f>IF(A35="","",IF(H35="Invalid inherent ratings","Invalid inherent ratings",IF(O35="","Assessment missing",IF(COUNTIF(Appetite!$A$6:$A$17,D35)=0,"Configuration missing",IF(OR(S35="",T35=""),"Configuration: "&amp;INDEX(Appetite!$I$6:$I$17,MATCH(D35,Appetite!$A$6:$A$17,0)),IF(O35&gt;T35,"Tolerance breach",IF(O35&gt;S35,"Appetite breach","Within appetite")))))))</f>
        <v/>
      </c>
      <c r="V35" s="38" t="str">
        <f>IF(A35="","",IF(COUNTIFS('Risk Acceptance Register'!$B$6:$B$105,A35,'Risk Acceptance Register'!$I$6:$I$105,"Approved")&gt;0,"Yes","No"))</f>
        <v/>
      </c>
      <c r="W35" s="38" t="str">
        <f>IF(V35&lt;&gt;"Yes","",IFERROR(IF(COUNTIFS('Risk Acceptance Register'!$B$6:$B$105,A35,'Risk Acceptance Register'!$T$6:$T$105,"Eligible")&gt;0,LOOKUP(2,1/(('Risk Acceptance Register'!$B$6:$B$105=A35)*('Risk Acceptance Register'!$T$6:$T$105="Eligible")),'Risk Acceptance Register'!$J$6:$J$105),LOOKUP(2,1/(('Risk Acceptance Register'!$B$6:$B$105=A35)*('Risk Acceptance Register'!$I$6:$I$105="Approved")),'Risk Acceptance Register'!$J$6:$J$105))&amp;"",""))</f>
        <v/>
      </c>
      <c r="X35" s="39" t="str">
        <f>IF(V35&lt;&gt;"Yes","",IFERROR(IF(IF(COUNTIFS('Risk Acceptance Register'!$B$6:$B$105,A35,'Risk Acceptance Register'!$T$6:$T$105,"Eligible")&gt;0,LOOKUP(2,1/(('Risk Acceptance Register'!$B$6:$B$105=A35)*('Risk Acceptance Register'!$T$6:$T$105="Eligible")),'Risk Acceptance Register'!$M$6:$M$105),LOOKUP(2,1/(('Risk Acceptance Register'!$B$6:$B$105=A35)*('Risk Acceptance Register'!$I$6:$I$105="Approved")),'Risk Acceptance Register'!$M$6:$M$105))=0,"",IF(COUNTIFS('Risk Acceptance Register'!$B$6:$B$105,A35,'Risk Acceptance Register'!$T$6:$T$105,"Eligible")&gt;0,LOOKUP(2,1/(('Risk Acceptance Register'!$B$6:$B$105=A35)*('Risk Acceptance Register'!$T$6:$T$105="Eligible")),'Risk Acceptance Register'!$M$6:$M$105),LOOKUP(2,1/(('Risk Acceptance Register'!$B$6:$B$105=A35)*('Risk Acceptance Register'!$I$6:$I$105="Approved")),'Risk Acceptance Register'!$M$6:$M$105))),""))</f>
        <v/>
      </c>
      <c r="Y35" s="38" t="str">
        <f>IF(A35="","",IF(U35="Within appetite","Within appetite",IF(AND(U35&lt;&gt;"Appetite breach",U35&lt;&gt;"Tolerance breach"),U35,IF(COUNTIFS('Risk Acceptance Register'!$B$6:$B$105,A35,'Risk Acceptance Register'!$T$6:$T$105,"Eligible")&gt;0,"Breach - formally accepted",IF(V35="Yes",IF(X35="","Accepted - expiry not set",IF(X35&lt;Methodology!$B$4,"Acceptance expired - breach open","Breach - not accepted")),"Breach - not accepted")))))</f>
        <v/>
      </c>
      <c r="Z35" s="40"/>
      <c r="AA35" s="38" t="str">
        <f>IF(OR(A35="",Z35=""),"",IF(Z35&lt;Methodology!$B$4,"Overdue","On schedule"))</f>
        <v/>
      </c>
      <c r="AB35" s="38" t="str">
        <f>IF(OR(U35="",U35="Within appetite"),"",MAX(AB$5:AB34)+1)</f>
        <v/>
      </c>
      <c r="AC35" s="38" t="str">
        <f>IF(A35="","",COUNTIF('Treatment Tracker'!$B$6:$B$105,A35)-COUNTIFS('Treatment Tracker'!$B$6:$B$105,A35,'Treatment Tracker'!$H$6:$H$105,"Completed")-COUNTIFS('Treatment Tracker'!$B$6:$B$105,A35,'Treatment Tracker'!$H$6:$H$105,"Cancelled"))</f>
        <v/>
      </c>
      <c r="AD35" s="38" t="str">
        <f t="shared" si="12"/>
        <v/>
      </c>
      <c r="AE35" s="35"/>
      <c r="AF35" s="35"/>
      <c r="AG35" s="40"/>
      <c r="AH35" s="35"/>
      <c r="AI35" s="38" t="str">
        <f>IF(A35="","",IF(OR(K35="",L35=""),"No assessment",IF(OR(NOT(ISNUMBER(K35)),NOT(ISNUMBER(L35))),"Invalid residual ratings",IF(OR(K35&lt;1,K35&gt;5,L35&lt;1,L35&gt;5,INT(K35)&lt;&gt;K35,INT(L35)&lt;&gt;L35),"Invalid residual ratings",IF(OR(AE35="",AF35="",AG35="",AH35=""),"Incomplete evidence",IF(NOT(ISNUMBER(AG35)),"Invalid assessment date",IF(OR(AG35&gt;Methodology!$B$4,AG35&lt;=0),"Invalid assessment date",IF(AG35+Methodology!$B$3&lt;Methodology!$B$4,"Expired",IF(AL35&lt;&gt;"Approved","Approval not confirmed","Valid")))))))))</f>
        <v/>
      </c>
      <c r="AJ35" s="38" t="str">
        <f>IF(OR(F35="",G35=""),"",MAX(1,ROUND(F35*(1-IFERROR(INDEX(Methodology!$B$41:$B$44,MATCH(J35,Methodology!$A$41:$A$44,0)),0)),0))*G35)</f>
        <v/>
      </c>
      <c r="AK35" s="38" t="str">
        <f t="shared" si="13"/>
        <v/>
      </c>
      <c r="AL35" s="36"/>
    </row>
    <row r="36" spans="1:38" x14ac:dyDescent="0.35">
      <c r="A36" s="35"/>
      <c r="B36" s="24"/>
      <c r="C36" s="24"/>
      <c r="D36" s="35"/>
      <c r="E36" s="35"/>
      <c r="F36" s="36"/>
      <c r="G36" s="36"/>
      <c r="H36" s="37" t="str">
        <f t="shared" si="7"/>
        <v/>
      </c>
      <c r="I36" s="38" t="str">
        <f>IF(NOT(ISNUMBER(H36)),"",INDEX(Methodology!$B$26:$B$29,MATCH(H36,Methodology!$A$26:$A$29,1)))</f>
        <v/>
      </c>
      <c r="J36" s="35"/>
      <c r="K36" s="36"/>
      <c r="L36" s="36"/>
      <c r="M36" s="37" t="str">
        <f t="shared" si="8"/>
        <v/>
      </c>
      <c r="N36" s="37" t="str">
        <f t="shared" si="9"/>
        <v/>
      </c>
      <c r="O36" s="37" t="str">
        <f t="shared" si="10"/>
        <v/>
      </c>
      <c r="P36" s="38" t="str">
        <f>IF(O36="","",INDEX(Methodology!$B$26:$B$29,MATCH(O36,Methodology!$A$26:$A$29,1)))</f>
        <v/>
      </c>
      <c r="Q36" s="36"/>
      <c r="R36" s="37" t="str">
        <f t="shared" si="11"/>
        <v/>
      </c>
      <c r="S36" s="37" t="str">
        <f>IF(D36="","",IFERROR(IF(OR(INDEX(Appetite!$I$6:$I$17,MATCH(D36,Appetite!$A$6:$A$17,0))="OK",INDEX(Appetite!$I$6:$I$17,MATCH(D36,Appetite!$A$6:$A$17,0))="Review overdue - approved"),INDEX(Appetite!$C$6:$C$17,MATCH(D36,Appetite!$A$6:$A$17,0)),""),""))</f>
        <v/>
      </c>
      <c r="T36" s="37" t="str">
        <f>IF(D36="","",IFERROR(IF(OR(INDEX(Appetite!$I$6:$I$17,MATCH(D36,Appetite!$A$6:$A$17,0))="OK",INDEX(Appetite!$I$6:$I$17,MATCH(D36,Appetite!$A$6:$A$17,0))="Review overdue - approved"),INDEX(Appetite!$D$6:$D$17,MATCH(D36,Appetite!$A$6:$A$17,0)),""),""))</f>
        <v/>
      </c>
      <c r="U36" s="38" t="str">
        <f>IF(A36="","",IF(H36="Invalid inherent ratings","Invalid inherent ratings",IF(O36="","Assessment missing",IF(COUNTIF(Appetite!$A$6:$A$17,D36)=0,"Configuration missing",IF(OR(S36="",T36=""),"Configuration: "&amp;INDEX(Appetite!$I$6:$I$17,MATCH(D36,Appetite!$A$6:$A$17,0)),IF(O36&gt;T36,"Tolerance breach",IF(O36&gt;S36,"Appetite breach","Within appetite")))))))</f>
        <v/>
      </c>
      <c r="V36" s="38" t="str">
        <f>IF(A36="","",IF(COUNTIFS('Risk Acceptance Register'!$B$6:$B$105,A36,'Risk Acceptance Register'!$I$6:$I$105,"Approved")&gt;0,"Yes","No"))</f>
        <v/>
      </c>
      <c r="W36" s="38" t="str">
        <f>IF(V36&lt;&gt;"Yes","",IFERROR(IF(COUNTIFS('Risk Acceptance Register'!$B$6:$B$105,A36,'Risk Acceptance Register'!$T$6:$T$105,"Eligible")&gt;0,LOOKUP(2,1/(('Risk Acceptance Register'!$B$6:$B$105=A36)*('Risk Acceptance Register'!$T$6:$T$105="Eligible")),'Risk Acceptance Register'!$J$6:$J$105),LOOKUP(2,1/(('Risk Acceptance Register'!$B$6:$B$105=A36)*('Risk Acceptance Register'!$I$6:$I$105="Approved")),'Risk Acceptance Register'!$J$6:$J$105))&amp;"",""))</f>
        <v/>
      </c>
      <c r="X36" s="39" t="str">
        <f>IF(V36&lt;&gt;"Yes","",IFERROR(IF(IF(COUNTIFS('Risk Acceptance Register'!$B$6:$B$105,A36,'Risk Acceptance Register'!$T$6:$T$105,"Eligible")&gt;0,LOOKUP(2,1/(('Risk Acceptance Register'!$B$6:$B$105=A36)*('Risk Acceptance Register'!$T$6:$T$105="Eligible")),'Risk Acceptance Register'!$M$6:$M$105),LOOKUP(2,1/(('Risk Acceptance Register'!$B$6:$B$105=A36)*('Risk Acceptance Register'!$I$6:$I$105="Approved")),'Risk Acceptance Register'!$M$6:$M$105))=0,"",IF(COUNTIFS('Risk Acceptance Register'!$B$6:$B$105,A36,'Risk Acceptance Register'!$T$6:$T$105,"Eligible")&gt;0,LOOKUP(2,1/(('Risk Acceptance Register'!$B$6:$B$105=A36)*('Risk Acceptance Register'!$T$6:$T$105="Eligible")),'Risk Acceptance Register'!$M$6:$M$105),LOOKUP(2,1/(('Risk Acceptance Register'!$B$6:$B$105=A36)*('Risk Acceptance Register'!$I$6:$I$105="Approved")),'Risk Acceptance Register'!$M$6:$M$105))),""))</f>
        <v/>
      </c>
      <c r="Y36" s="38" t="str">
        <f>IF(A36="","",IF(U36="Within appetite","Within appetite",IF(AND(U36&lt;&gt;"Appetite breach",U36&lt;&gt;"Tolerance breach"),U36,IF(COUNTIFS('Risk Acceptance Register'!$B$6:$B$105,A36,'Risk Acceptance Register'!$T$6:$T$105,"Eligible")&gt;0,"Breach - formally accepted",IF(V36="Yes",IF(X36="","Accepted - expiry not set",IF(X36&lt;Methodology!$B$4,"Acceptance expired - breach open","Breach - not accepted")),"Breach - not accepted")))))</f>
        <v/>
      </c>
      <c r="Z36" s="40"/>
      <c r="AA36" s="38" t="str">
        <f>IF(OR(A36="",Z36=""),"",IF(Z36&lt;Methodology!$B$4,"Overdue","On schedule"))</f>
        <v/>
      </c>
      <c r="AB36" s="38" t="str">
        <f>IF(OR(U36="",U36="Within appetite"),"",MAX(AB$5:AB35)+1)</f>
        <v/>
      </c>
      <c r="AC36" s="38" t="str">
        <f>IF(A36="","",COUNTIF('Treatment Tracker'!$B$6:$B$105,A36)-COUNTIFS('Treatment Tracker'!$B$6:$B$105,A36,'Treatment Tracker'!$H$6:$H$105,"Completed")-COUNTIFS('Treatment Tracker'!$B$6:$B$105,A36,'Treatment Tracker'!$H$6:$H$105,"Cancelled"))</f>
        <v/>
      </c>
      <c r="AD36" s="38" t="str">
        <f t="shared" si="12"/>
        <v/>
      </c>
      <c r="AE36" s="35"/>
      <c r="AF36" s="35"/>
      <c r="AG36" s="40"/>
      <c r="AH36" s="35"/>
      <c r="AI36" s="38" t="str">
        <f>IF(A36="","",IF(OR(K36="",L36=""),"No assessment",IF(OR(NOT(ISNUMBER(K36)),NOT(ISNUMBER(L36))),"Invalid residual ratings",IF(OR(K36&lt;1,K36&gt;5,L36&lt;1,L36&gt;5,INT(K36)&lt;&gt;K36,INT(L36)&lt;&gt;L36),"Invalid residual ratings",IF(OR(AE36="",AF36="",AG36="",AH36=""),"Incomplete evidence",IF(NOT(ISNUMBER(AG36)),"Invalid assessment date",IF(OR(AG36&gt;Methodology!$B$4,AG36&lt;=0),"Invalid assessment date",IF(AG36+Methodology!$B$3&lt;Methodology!$B$4,"Expired",IF(AL36&lt;&gt;"Approved","Approval not confirmed","Valid")))))))))</f>
        <v/>
      </c>
      <c r="AJ36" s="38" t="str">
        <f>IF(OR(F36="",G36=""),"",MAX(1,ROUND(F36*(1-IFERROR(INDEX(Methodology!$B$41:$B$44,MATCH(J36,Methodology!$A$41:$A$44,0)),0)),0))*G36)</f>
        <v/>
      </c>
      <c r="AK36" s="38" t="str">
        <f t="shared" si="13"/>
        <v/>
      </c>
      <c r="AL36" s="36"/>
    </row>
    <row r="37" spans="1:38" x14ac:dyDescent="0.35">
      <c r="A37" s="35"/>
      <c r="B37" s="24"/>
      <c r="C37" s="24"/>
      <c r="D37" s="35"/>
      <c r="E37" s="35"/>
      <c r="F37" s="36"/>
      <c r="G37" s="36"/>
      <c r="H37" s="37" t="str">
        <f t="shared" si="7"/>
        <v/>
      </c>
      <c r="I37" s="38" t="str">
        <f>IF(NOT(ISNUMBER(H37)),"",INDEX(Methodology!$B$26:$B$29,MATCH(H37,Methodology!$A$26:$A$29,1)))</f>
        <v/>
      </c>
      <c r="J37" s="35"/>
      <c r="K37" s="36"/>
      <c r="L37" s="36"/>
      <c r="M37" s="37" t="str">
        <f t="shared" si="8"/>
        <v/>
      </c>
      <c r="N37" s="37" t="str">
        <f t="shared" si="9"/>
        <v/>
      </c>
      <c r="O37" s="37" t="str">
        <f t="shared" si="10"/>
        <v/>
      </c>
      <c r="P37" s="38" t="str">
        <f>IF(O37="","",INDEX(Methodology!$B$26:$B$29,MATCH(O37,Methodology!$A$26:$A$29,1)))</f>
        <v/>
      </c>
      <c r="Q37" s="36"/>
      <c r="R37" s="37" t="str">
        <f t="shared" si="11"/>
        <v/>
      </c>
      <c r="S37" s="37" t="str">
        <f>IF(D37="","",IFERROR(IF(OR(INDEX(Appetite!$I$6:$I$17,MATCH(D37,Appetite!$A$6:$A$17,0))="OK",INDEX(Appetite!$I$6:$I$17,MATCH(D37,Appetite!$A$6:$A$17,0))="Review overdue - approved"),INDEX(Appetite!$C$6:$C$17,MATCH(D37,Appetite!$A$6:$A$17,0)),""),""))</f>
        <v/>
      </c>
      <c r="T37" s="37" t="str">
        <f>IF(D37="","",IFERROR(IF(OR(INDEX(Appetite!$I$6:$I$17,MATCH(D37,Appetite!$A$6:$A$17,0))="OK",INDEX(Appetite!$I$6:$I$17,MATCH(D37,Appetite!$A$6:$A$17,0))="Review overdue - approved"),INDEX(Appetite!$D$6:$D$17,MATCH(D37,Appetite!$A$6:$A$17,0)),""),""))</f>
        <v/>
      </c>
      <c r="U37" s="38" t="str">
        <f>IF(A37="","",IF(H37="Invalid inherent ratings","Invalid inherent ratings",IF(O37="","Assessment missing",IF(COUNTIF(Appetite!$A$6:$A$17,D37)=0,"Configuration missing",IF(OR(S37="",T37=""),"Configuration: "&amp;INDEX(Appetite!$I$6:$I$17,MATCH(D37,Appetite!$A$6:$A$17,0)),IF(O37&gt;T37,"Tolerance breach",IF(O37&gt;S37,"Appetite breach","Within appetite")))))))</f>
        <v/>
      </c>
      <c r="V37" s="38" t="str">
        <f>IF(A37="","",IF(COUNTIFS('Risk Acceptance Register'!$B$6:$B$105,A37,'Risk Acceptance Register'!$I$6:$I$105,"Approved")&gt;0,"Yes","No"))</f>
        <v/>
      </c>
      <c r="W37" s="38" t="str">
        <f>IF(V37&lt;&gt;"Yes","",IFERROR(IF(COUNTIFS('Risk Acceptance Register'!$B$6:$B$105,A37,'Risk Acceptance Register'!$T$6:$T$105,"Eligible")&gt;0,LOOKUP(2,1/(('Risk Acceptance Register'!$B$6:$B$105=A37)*('Risk Acceptance Register'!$T$6:$T$105="Eligible")),'Risk Acceptance Register'!$J$6:$J$105),LOOKUP(2,1/(('Risk Acceptance Register'!$B$6:$B$105=A37)*('Risk Acceptance Register'!$I$6:$I$105="Approved")),'Risk Acceptance Register'!$J$6:$J$105))&amp;"",""))</f>
        <v/>
      </c>
      <c r="X37" s="39" t="str">
        <f>IF(V37&lt;&gt;"Yes","",IFERROR(IF(IF(COUNTIFS('Risk Acceptance Register'!$B$6:$B$105,A37,'Risk Acceptance Register'!$T$6:$T$105,"Eligible")&gt;0,LOOKUP(2,1/(('Risk Acceptance Register'!$B$6:$B$105=A37)*('Risk Acceptance Register'!$T$6:$T$105="Eligible")),'Risk Acceptance Register'!$M$6:$M$105),LOOKUP(2,1/(('Risk Acceptance Register'!$B$6:$B$105=A37)*('Risk Acceptance Register'!$I$6:$I$105="Approved")),'Risk Acceptance Register'!$M$6:$M$105))=0,"",IF(COUNTIFS('Risk Acceptance Register'!$B$6:$B$105,A37,'Risk Acceptance Register'!$T$6:$T$105,"Eligible")&gt;0,LOOKUP(2,1/(('Risk Acceptance Register'!$B$6:$B$105=A37)*('Risk Acceptance Register'!$T$6:$T$105="Eligible")),'Risk Acceptance Register'!$M$6:$M$105),LOOKUP(2,1/(('Risk Acceptance Register'!$B$6:$B$105=A37)*('Risk Acceptance Register'!$I$6:$I$105="Approved")),'Risk Acceptance Register'!$M$6:$M$105))),""))</f>
        <v/>
      </c>
      <c r="Y37" s="38" t="str">
        <f>IF(A37="","",IF(U37="Within appetite","Within appetite",IF(AND(U37&lt;&gt;"Appetite breach",U37&lt;&gt;"Tolerance breach"),U37,IF(COUNTIFS('Risk Acceptance Register'!$B$6:$B$105,A37,'Risk Acceptance Register'!$T$6:$T$105,"Eligible")&gt;0,"Breach - formally accepted",IF(V37="Yes",IF(X37="","Accepted - expiry not set",IF(X37&lt;Methodology!$B$4,"Acceptance expired - breach open","Breach - not accepted")),"Breach - not accepted")))))</f>
        <v/>
      </c>
      <c r="Z37" s="40"/>
      <c r="AA37" s="38" t="str">
        <f>IF(OR(A37="",Z37=""),"",IF(Z37&lt;Methodology!$B$4,"Overdue","On schedule"))</f>
        <v/>
      </c>
      <c r="AB37" s="38" t="str">
        <f>IF(OR(U37="",U37="Within appetite"),"",MAX(AB$5:AB36)+1)</f>
        <v/>
      </c>
      <c r="AC37" s="38" t="str">
        <f>IF(A37="","",COUNTIF('Treatment Tracker'!$B$6:$B$105,A37)-COUNTIFS('Treatment Tracker'!$B$6:$B$105,A37,'Treatment Tracker'!$H$6:$H$105,"Completed")-COUNTIFS('Treatment Tracker'!$B$6:$B$105,A37,'Treatment Tracker'!$H$6:$H$105,"Cancelled"))</f>
        <v/>
      </c>
      <c r="AD37" s="38" t="str">
        <f t="shared" si="12"/>
        <v/>
      </c>
      <c r="AE37" s="35"/>
      <c r="AF37" s="35"/>
      <c r="AG37" s="40"/>
      <c r="AH37" s="35"/>
      <c r="AI37" s="38" t="str">
        <f>IF(A37="","",IF(OR(K37="",L37=""),"No assessment",IF(OR(NOT(ISNUMBER(K37)),NOT(ISNUMBER(L37))),"Invalid residual ratings",IF(OR(K37&lt;1,K37&gt;5,L37&lt;1,L37&gt;5,INT(K37)&lt;&gt;K37,INT(L37)&lt;&gt;L37),"Invalid residual ratings",IF(OR(AE37="",AF37="",AG37="",AH37=""),"Incomplete evidence",IF(NOT(ISNUMBER(AG37)),"Invalid assessment date",IF(OR(AG37&gt;Methodology!$B$4,AG37&lt;=0),"Invalid assessment date",IF(AG37+Methodology!$B$3&lt;Methodology!$B$4,"Expired",IF(AL37&lt;&gt;"Approved","Approval not confirmed","Valid")))))))))</f>
        <v/>
      </c>
      <c r="AJ37" s="38" t="str">
        <f>IF(OR(F37="",G37=""),"",MAX(1,ROUND(F37*(1-IFERROR(INDEX(Methodology!$B$41:$B$44,MATCH(J37,Methodology!$A$41:$A$44,0)),0)),0))*G37)</f>
        <v/>
      </c>
      <c r="AK37" s="38" t="str">
        <f t="shared" si="13"/>
        <v/>
      </c>
      <c r="AL37" s="36"/>
    </row>
    <row r="38" spans="1:38" x14ac:dyDescent="0.35">
      <c r="A38" s="35"/>
      <c r="B38" s="24"/>
      <c r="C38" s="24"/>
      <c r="D38" s="35"/>
      <c r="E38" s="35"/>
      <c r="F38" s="36"/>
      <c r="G38" s="36"/>
      <c r="H38" s="37" t="str">
        <f t="shared" ref="H38:H69" si="14">IF(A38="","",IF(OR(F38="",G38=""),"",IF(OR(NOT(ISNUMBER(F38)),NOT(ISNUMBER(G38))),"Invalid inherent ratings",IF(OR(F38&lt;1,F38&gt;5,G38&lt;1,G38&gt;5,INT(F38)&lt;&gt;F38,INT(G38)&lt;&gt;G38),"Invalid inherent ratings",F38*G38))))</f>
        <v/>
      </c>
      <c r="I38" s="38" t="str">
        <f>IF(NOT(ISNUMBER(H38)),"",INDEX(Methodology!$B$26:$B$29,MATCH(H38,Methodology!$A$26:$A$29,1)))</f>
        <v/>
      </c>
      <c r="J38" s="35"/>
      <c r="K38" s="36"/>
      <c r="L38" s="36"/>
      <c r="M38" s="37" t="str">
        <f t="shared" ref="M38:M69" si="15">IF(NOT(ISNUMBER(H38)),"",IF(AI38="Valid",K38,F38))</f>
        <v/>
      </c>
      <c r="N38" s="37" t="str">
        <f t="shared" ref="N38:N69" si="16">IF(NOT(ISNUMBER(H38)),"",IF(AI38="Valid",L38,G38))</f>
        <v/>
      </c>
      <c r="O38" s="37" t="str">
        <f t="shared" ref="O38:O69" si="17">IF(OR(M38="",N38=""),"",M38*N38)</f>
        <v/>
      </c>
      <c r="P38" s="38" t="str">
        <f>IF(O38="","",INDEX(Methodology!$B$26:$B$29,MATCH(O38,Methodology!$A$26:$A$29,1)))</f>
        <v/>
      </c>
      <c r="Q38" s="36"/>
      <c r="R38" s="37" t="str">
        <f t="shared" ref="R38:R69" si="18">IF(OR(O38="",Q38=""),"",O38-Q38)</f>
        <v/>
      </c>
      <c r="S38" s="37" t="str">
        <f>IF(D38="","",IFERROR(IF(OR(INDEX(Appetite!$I$6:$I$17,MATCH(D38,Appetite!$A$6:$A$17,0))="OK",INDEX(Appetite!$I$6:$I$17,MATCH(D38,Appetite!$A$6:$A$17,0))="Review overdue - approved"),INDEX(Appetite!$C$6:$C$17,MATCH(D38,Appetite!$A$6:$A$17,0)),""),""))</f>
        <v/>
      </c>
      <c r="T38" s="37" t="str">
        <f>IF(D38="","",IFERROR(IF(OR(INDEX(Appetite!$I$6:$I$17,MATCH(D38,Appetite!$A$6:$A$17,0))="OK",INDEX(Appetite!$I$6:$I$17,MATCH(D38,Appetite!$A$6:$A$17,0))="Review overdue - approved"),INDEX(Appetite!$D$6:$D$17,MATCH(D38,Appetite!$A$6:$A$17,0)),""),""))</f>
        <v/>
      </c>
      <c r="U38" s="38" t="str">
        <f>IF(A38="","",IF(H38="Invalid inherent ratings","Invalid inherent ratings",IF(O38="","Assessment missing",IF(COUNTIF(Appetite!$A$6:$A$17,D38)=0,"Configuration missing",IF(OR(S38="",T38=""),"Configuration: "&amp;INDEX(Appetite!$I$6:$I$17,MATCH(D38,Appetite!$A$6:$A$17,0)),IF(O38&gt;T38,"Tolerance breach",IF(O38&gt;S38,"Appetite breach","Within appetite")))))))</f>
        <v/>
      </c>
      <c r="V38" s="38" t="str">
        <f>IF(A38="","",IF(COUNTIFS('Risk Acceptance Register'!$B$6:$B$105,A38,'Risk Acceptance Register'!$I$6:$I$105,"Approved")&gt;0,"Yes","No"))</f>
        <v/>
      </c>
      <c r="W38" s="38" t="str">
        <f>IF(V38&lt;&gt;"Yes","",IFERROR(IF(COUNTIFS('Risk Acceptance Register'!$B$6:$B$105,A38,'Risk Acceptance Register'!$T$6:$T$105,"Eligible")&gt;0,LOOKUP(2,1/(('Risk Acceptance Register'!$B$6:$B$105=A38)*('Risk Acceptance Register'!$T$6:$T$105="Eligible")),'Risk Acceptance Register'!$J$6:$J$105),LOOKUP(2,1/(('Risk Acceptance Register'!$B$6:$B$105=A38)*('Risk Acceptance Register'!$I$6:$I$105="Approved")),'Risk Acceptance Register'!$J$6:$J$105))&amp;"",""))</f>
        <v/>
      </c>
      <c r="X38" s="39" t="str">
        <f>IF(V38&lt;&gt;"Yes","",IFERROR(IF(IF(COUNTIFS('Risk Acceptance Register'!$B$6:$B$105,A38,'Risk Acceptance Register'!$T$6:$T$105,"Eligible")&gt;0,LOOKUP(2,1/(('Risk Acceptance Register'!$B$6:$B$105=A38)*('Risk Acceptance Register'!$T$6:$T$105="Eligible")),'Risk Acceptance Register'!$M$6:$M$105),LOOKUP(2,1/(('Risk Acceptance Register'!$B$6:$B$105=A38)*('Risk Acceptance Register'!$I$6:$I$105="Approved")),'Risk Acceptance Register'!$M$6:$M$105))=0,"",IF(COUNTIFS('Risk Acceptance Register'!$B$6:$B$105,A38,'Risk Acceptance Register'!$T$6:$T$105,"Eligible")&gt;0,LOOKUP(2,1/(('Risk Acceptance Register'!$B$6:$B$105=A38)*('Risk Acceptance Register'!$T$6:$T$105="Eligible")),'Risk Acceptance Register'!$M$6:$M$105),LOOKUP(2,1/(('Risk Acceptance Register'!$B$6:$B$105=A38)*('Risk Acceptance Register'!$I$6:$I$105="Approved")),'Risk Acceptance Register'!$M$6:$M$105))),""))</f>
        <v/>
      </c>
      <c r="Y38" s="38" t="str">
        <f>IF(A38="","",IF(U38="Within appetite","Within appetite",IF(AND(U38&lt;&gt;"Appetite breach",U38&lt;&gt;"Tolerance breach"),U38,IF(COUNTIFS('Risk Acceptance Register'!$B$6:$B$105,A38,'Risk Acceptance Register'!$T$6:$T$105,"Eligible")&gt;0,"Breach - formally accepted",IF(V38="Yes",IF(X38="","Accepted - expiry not set",IF(X38&lt;Methodology!$B$4,"Acceptance expired - breach open","Breach - not accepted")),"Breach - not accepted")))))</f>
        <v/>
      </c>
      <c r="Z38" s="40"/>
      <c r="AA38" s="38" t="str">
        <f>IF(OR(A38="",Z38=""),"",IF(Z38&lt;Methodology!$B$4,"Overdue","On schedule"))</f>
        <v/>
      </c>
      <c r="AB38" s="38" t="str">
        <f>IF(OR(U38="",U38="Within appetite"),"",MAX(AB$5:AB37)+1)</f>
        <v/>
      </c>
      <c r="AC38" s="38" t="str">
        <f>IF(A38="","",COUNTIF('Treatment Tracker'!$B$6:$B$105,A38)-COUNTIFS('Treatment Tracker'!$B$6:$B$105,A38,'Treatment Tracker'!$H$6:$H$105,"Completed")-COUNTIFS('Treatment Tracker'!$B$6:$B$105,A38,'Treatment Tracker'!$H$6:$H$105,"Cancelled"))</f>
        <v/>
      </c>
      <c r="AD38" s="38" t="str">
        <f t="shared" ref="AD38:AD69" si="19">IF(OR(U38="",U38="Within appetite"),"",IF(AND(AC38=0,Y38&lt;&gt;"Breach - formally accepted"),"Gap",""))</f>
        <v/>
      </c>
      <c r="AE38" s="35"/>
      <c r="AF38" s="35"/>
      <c r="AG38" s="40"/>
      <c r="AH38" s="35"/>
      <c r="AI38" s="38" t="str">
        <f>IF(A38="","",IF(OR(K38="",L38=""),"No assessment",IF(OR(NOT(ISNUMBER(K38)),NOT(ISNUMBER(L38))),"Invalid residual ratings",IF(OR(K38&lt;1,K38&gt;5,L38&lt;1,L38&gt;5,INT(K38)&lt;&gt;K38,INT(L38)&lt;&gt;L38),"Invalid residual ratings",IF(OR(AE38="",AF38="",AG38="",AH38=""),"Incomplete evidence",IF(NOT(ISNUMBER(AG38)),"Invalid assessment date",IF(OR(AG38&gt;Methodology!$B$4,AG38&lt;=0),"Invalid assessment date",IF(AG38+Methodology!$B$3&lt;Methodology!$B$4,"Expired",IF(AL38&lt;&gt;"Approved","Approval not confirmed","Valid")))))))))</f>
        <v/>
      </c>
      <c r="AJ38" s="38" t="str">
        <f>IF(OR(F38="",G38=""),"",MAX(1,ROUND(F38*(1-IFERROR(INDEX(Methodology!$B$41:$B$44,MATCH(J38,Methodology!$A$41:$A$44,0)),0)),0))*G38)</f>
        <v/>
      </c>
      <c r="AK38" s="38" t="str">
        <f t="shared" ref="AK38:AK69" si="20">IF(A38="","",IF(AI38="Valid","Assessed (evidence-supported)","Inherent only (no valid assessment)"))</f>
        <v/>
      </c>
      <c r="AL38" s="36"/>
    </row>
    <row r="39" spans="1:38" x14ac:dyDescent="0.35">
      <c r="A39" s="35"/>
      <c r="B39" s="24"/>
      <c r="C39" s="24"/>
      <c r="D39" s="35"/>
      <c r="E39" s="35"/>
      <c r="F39" s="36"/>
      <c r="G39" s="36"/>
      <c r="H39" s="37" t="str">
        <f t="shared" si="14"/>
        <v/>
      </c>
      <c r="I39" s="38" t="str">
        <f>IF(NOT(ISNUMBER(H39)),"",INDEX(Methodology!$B$26:$B$29,MATCH(H39,Methodology!$A$26:$A$29,1)))</f>
        <v/>
      </c>
      <c r="J39" s="35"/>
      <c r="K39" s="36"/>
      <c r="L39" s="36"/>
      <c r="M39" s="37" t="str">
        <f t="shared" si="15"/>
        <v/>
      </c>
      <c r="N39" s="37" t="str">
        <f t="shared" si="16"/>
        <v/>
      </c>
      <c r="O39" s="37" t="str">
        <f t="shared" si="17"/>
        <v/>
      </c>
      <c r="P39" s="38" t="str">
        <f>IF(O39="","",INDEX(Methodology!$B$26:$B$29,MATCH(O39,Methodology!$A$26:$A$29,1)))</f>
        <v/>
      </c>
      <c r="Q39" s="36"/>
      <c r="R39" s="37" t="str">
        <f t="shared" si="18"/>
        <v/>
      </c>
      <c r="S39" s="37" t="str">
        <f>IF(D39="","",IFERROR(IF(OR(INDEX(Appetite!$I$6:$I$17,MATCH(D39,Appetite!$A$6:$A$17,0))="OK",INDEX(Appetite!$I$6:$I$17,MATCH(D39,Appetite!$A$6:$A$17,0))="Review overdue - approved"),INDEX(Appetite!$C$6:$C$17,MATCH(D39,Appetite!$A$6:$A$17,0)),""),""))</f>
        <v/>
      </c>
      <c r="T39" s="37" t="str">
        <f>IF(D39="","",IFERROR(IF(OR(INDEX(Appetite!$I$6:$I$17,MATCH(D39,Appetite!$A$6:$A$17,0))="OK",INDEX(Appetite!$I$6:$I$17,MATCH(D39,Appetite!$A$6:$A$17,0))="Review overdue - approved"),INDEX(Appetite!$D$6:$D$17,MATCH(D39,Appetite!$A$6:$A$17,0)),""),""))</f>
        <v/>
      </c>
      <c r="U39" s="38" t="str">
        <f>IF(A39="","",IF(H39="Invalid inherent ratings","Invalid inherent ratings",IF(O39="","Assessment missing",IF(COUNTIF(Appetite!$A$6:$A$17,D39)=0,"Configuration missing",IF(OR(S39="",T39=""),"Configuration: "&amp;INDEX(Appetite!$I$6:$I$17,MATCH(D39,Appetite!$A$6:$A$17,0)),IF(O39&gt;T39,"Tolerance breach",IF(O39&gt;S39,"Appetite breach","Within appetite")))))))</f>
        <v/>
      </c>
      <c r="V39" s="38" t="str">
        <f>IF(A39="","",IF(COUNTIFS('Risk Acceptance Register'!$B$6:$B$105,A39,'Risk Acceptance Register'!$I$6:$I$105,"Approved")&gt;0,"Yes","No"))</f>
        <v/>
      </c>
      <c r="W39" s="38" t="str">
        <f>IF(V39&lt;&gt;"Yes","",IFERROR(IF(COUNTIFS('Risk Acceptance Register'!$B$6:$B$105,A39,'Risk Acceptance Register'!$T$6:$T$105,"Eligible")&gt;0,LOOKUP(2,1/(('Risk Acceptance Register'!$B$6:$B$105=A39)*('Risk Acceptance Register'!$T$6:$T$105="Eligible")),'Risk Acceptance Register'!$J$6:$J$105),LOOKUP(2,1/(('Risk Acceptance Register'!$B$6:$B$105=A39)*('Risk Acceptance Register'!$I$6:$I$105="Approved")),'Risk Acceptance Register'!$J$6:$J$105))&amp;"",""))</f>
        <v/>
      </c>
      <c r="X39" s="39" t="str">
        <f>IF(V39&lt;&gt;"Yes","",IFERROR(IF(IF(COUNTIFS('Risk Acceptance Register'!$B$6:$B$105,A39,'Risk Acceptance Register'!$T$6:$T$105,"Eligible")&gt;0,LOOKUP(2,1/(('Risk Acceptance Register'!$B$6:$B$105=A39)*('Risk Acceptance Register'!$T$6:$T$105="Eligible")),'Risk Acceptance Register'!$M$6:$M$105),LOOKUP(2,1/(('Risk Acceptance Register'!$B$6:$B$105=A39)*('Risk Acceptance Register'!$I$6:$I$105="Approved")),'Risk Acceptance Register'!$M$6:$M$105))=0,"",IF(COUNTIFS('Risk Acceptance Register'!$B$6:$B$105,A39,'Risk Acceptance Register'!$T$6:$T$105,"Eligible")&gt;0,LOOKUP(2,1/(('Risk Acceptance Register'!$B$6:$B$105=A39)*('Risk Acceptance Register'!$T$6:$T$105="Eligible")),'Risk Acceptance Register'!$M$6:$M$105),LOOKUP(2,1/(('Risk Acceptance Register'!$B$6:$B$105=A39)*('Risk Acceptance Register'!$I$6:$I$105="Approved")),'Risk Acceptance Register'!$M$6:$M$105))),""))</f>
        <v/>
      </c>
      <c r="Y39" s="38" t="str">
        <f>IF(A39="","",IF(U39="Within appetite","Within appetite",IF(AND(U39&lt;&gt;"Appetite breach",U39&lt;&gt;"Tolerance breach"),U39,IF(COUNTIFS('Risk Acceptance Register'!$B$6:$B$105,A39,'Risk Acceptance Register'!$T$6:$T$105,"Eligible")&gt;0,"Breach - formally accepted",IF(V39="Yes",IF(X39="","Accepted - expiry not set",IF(X39&lt;Methodology!$B$4,"Acceptance expired - breach open","Breach - not accepted")),"Breach - not accepted")))))</f>
        <v/>
      </c>
      <c r="Z39" s="40"/>
      <c r="AA39" s="38" t="str">
        <f>IF(OR(A39="",Z39=""),"",IF(Z39&lt;Methodology!$B$4,"Overdue","On schedule"))</f>
        <v/>
      </c>
      <c r="AB39" s="38" t="str">
        <f>IF(OR(U39="",U39="Within appetite"),"",MAX(AB$5:AB38)+1)</f>
        <v/>
      </c>
      <c r="AC39" s="38" t="str">
        <f>IF(A39="","",COUNTIF('Treatment Tracker'!$B$6:$B$105,A39)-COUNTIFS('Treatment Tracker'!$B$6:$B$105,A39,'Treatment Tracker'!$H$6:$H$105,"Completed")-COUNTIFS('Treatment Tracker'!$B$6:$B$105,A39,'Treatment Tracker'!$H$6:$H$105,"Cancelled"))</f>
        <v/>
      </c>
      <c r="AD39" s="38" t="str">
        <f t="shared" si="19"/>
        <v/>
      </c>
      <c r="AE39" s="35"/>
      <c r="AF39" s="35"/>
      <c r="AG39" s="40"/>
      <c r="AH39" s="35"/>
      <c r="AI39" s="38" t="str">
        <f>IF(A39="","",IF(OR(K39="",L39=""),"No assessment",IF(OR(NOT(ISNUMBER(K39)),NOT(ISNUMBER(L39))),"Invalid residual ratings",IF(OR(K39&lt;1,K39&gt;5,L39&lt;1,L39&gt;5,INT(K39)&lt;&gt;K39,INT(L39)&lt;&gt;L39),"Invalid residual ratings",IF(OR(AE39="",AF39="",AG39="",AH39=""),"Incomplete evidence",IF(NOT(ISNUMBER(AG39)),"Invalid assessment date",IF(OR(AG39&gt;Methodology!$B$4,AG39&lt;=0),"Invalid assessment date",IF(AG39+Methodology!$B$3&lt;Methodology!$B$4,"Expired",IF(AL39&lt;&gt;"Approved","Approval not confirmed","Valid")))))))))</f>
        <v/>
      </c>
      <c r="AJ39" s="38" t="str">
        <f>IF(OR(F39="",G39=""),"",MAX(1,ROUND(F39*(1-IFERROR(INDEX(Methodology!$B$41:$B$44,MATCH(J39,Methodology!$A$41:$A$44,0)),0)),0))*G39)</f>
        <v/>
      </c>
      <c r="AK39" s="38" t="str">
        <f t="shared" si="20"/>
        <v/>
      </c>
      <c r="AL39" s="36"/>
    </row>
    <row r="40" spans="1:38" x14ac:dyDescent="0.35">
      <c r="A40" s="35"/>
      <c r="B40" s="24"/>
      <c r="C40" s="24"/>
      <c r="D40" s="35"/>
      <c r="E40" s="35"/>
      <c r="F40" s="36"/>
      <c r="G40" s="36"/>
      <c r="H40" s="37" t="str">
        <f t="shared" si="14"/>
        <v/>
      </c>
      <c r="I40" s="38" t="str">
        <f>IF(NOT(ISNUMBER(H40)),"",INDEX(Methodology!$B$26:$B$29,MATCH(H40,Methodology!$A$26:$A$29,1)))</f>
        <v/>
      </c>
      <c r="J40" s="35"/>
      <c r="K40" s="36"/>
      <c r="L40" s="36"/>
      <c r="M40" s="37" t="str">
        <f t="shared" si="15"/>
        <v/>
      </c>
      <c r="N40" s="37" t="str">
        <f t="shared" si="16"/>
        <v/>
      </c>
      <c r="O40" s="37" t="str">
        <f t="shared" si="17"/>
        <v/>
      </c>
      <c r="P40" s="38" t="str">
        <f>IF(O40="","",INDEX(Methodology!$B$26:$B$29,MATCH(O40,Methodology!$A$26:$A$29,1)))</f>
        <v/>
      </c>
      <c r="Q40" s="36"/>
      <c r="R40" s="37" t="str">
        <f t="shared" si="18"/>
        <v/>
      </c>
      <c r="S40" s="37" t="str">
        <f>IF(D40="","",IFERROR(IF(OR(INDEX(Appetite!$I$6:$I$17,MATCH(D40,Appetite!$A$6:$A$17,0))="OK",INDEX(Appetite!$I$6:$I$17,MATCH(D40,Appetite!$A$6:$A$17,0))="Review overdue - approved"),INDEX(Appetite!$C$6:$C$17,MATCH(D40,Appetite!$A$6:$A$17,0)),""),""))</f>
        <v/>
      </c>
      <c r="T40" s="37" t="str">
        <f>IF(D40="","",IFERROR(IF(OR(INDEX(Appetite!$I$6:$I$17,MATCH(D40,Appetite!$A$6:$A$17,0))="OK",INDEX(Appetite!$I$6:$I$17,MATCH(D40,Appetite!$A$6:$A$17,0))="Review overdue - approved"),INDEX(Appetite!$D$6:$D$17,MATCH(D40,Appetite!$A$6:$A$17,0)),""),""))</f>
        <v/>
      </c>
      <c r="U40" s="38" t="str">
        <f>IF(A40="","",IF(H40="Invalid inherent ratings","Invalid inherent ratings",IF(O40="","Assessment missing",IF(COUNTIF(Appetite!$A$6:$A$17,D40)=0,"Configuration missing",IF(OR(S40="",T40=""),"Configuration: "&amp;INDEX(Appetite!$I$6:$I$17,MATCH(D40,Appetite!$A$6:$A$17,0)),IF(O40&gt;T40,"Tolerance breach",IF(O40&gt;S40,"Appetite breach","Within appetite")))))))</f>
        <v/>
      </c>
      <c r="V40" s="38" t="str">
        <f>IF(A40="","",IF(COUNTIFS('Risk Acceptance Register'!$B$6:$B$105,A40,'Risk Acceptance Register'!$I$6:$I$105,"Approved")&gt;0,"Yes","No"))</f>
        <v/>
      </c>
      <c r="W40" s="38" t="str">
        <f>IF(V40&lt;&gt;"Yes","",IFERROR(IF(COUNTIFS('Risk Acceptance Register'!$B$6:$B$105,A40,'Risk Acceptance Register'!$T$6:$T$105,"Eligible")&gt;0,LOOKUP(2,1/(('Risk Acceptance Register'!$B$6:$B$105=A40)*('Risk Acceptance Register'!$T$6:$T$105="Eligible")),'Risk Acceptance Register'!$J$6:$J$105),LOOKUP(2,1/(('Risk Acceptance Register'!$B$6:$B$105=A40)*('Risk Acceptance Register'!$I$6:$I$105="Approved")),'Risk Acceptance Register'!$J$6:$J$105))&amp;"",""))</f>
        <v/>
      </c>
      <c r="X40" s="39" t="str">
        <f>IF(V40&lt;&gt;"Yes","",IFERROR(IF(IF(COUNTIFS('Risk Acceptance Register'!$B$6:$B$105,A40,'Risk Acceptance Register'!$T$6:$T$105,"Eligible")&gt;0,LOOKUP(2,1/(('Risk Acceptance Register'!$B$6:$B$105=A40)*('Risk Acceptance Register'!$T$6:$T$105="Eligible")),'Risk Acceptance Register'!$M$6:$M$105),LOOKUP(2,1/(('Risk Acceptance Register'!$B$6:$B$105=A40)*('Risk Acceptance Register'!$I$6:$I$105="Approved")),'Risk Acceptance Register'!$M$6:$M$105))=0,"",IF(COUNTIFS('Risk Acceptance Register'!$B$6:$B$105,A40,'Risk Acceptance Register'!$T$6:$T$105,"Eligible")&gt;0,LOOKUP(2,1/(('Risk Acceptance Register'!$B$6:$B$105=A40)*('Risk Acceptance Register'!$T$6:$T$105="Eligible")),'Risk Acceptance Register'!$M$6:$M$105),LOOKUP(2,1/(('Risk Acceptance Register'!$B$6:$B$105=A40)*('Risk Acceptance Register'!$I$6:$I$105="Approved")),'Risk Acceptance Register'!$M$6:$M$105))),""))</f>
        <v/>
      </c>
      <c r="Y40" s="38" t="str">
        <f>IF(A40="","",IF(U40="Within appetite","Within appetite",IF(AND(U40&lt;&gt;"Appetite breach",U40&lt;&gt;"Tolerance breach"),U40,IF(COUNTIFS('Risk Acceptance Register'!$B$6:$B$105,A40,'Risk Acceptance Register'!$T$6:$T$105,"Eligible")&gt;0,"Breach - formally accepted",IF(V40="Yes",IF(X40="","Accepted - expiry not set",IF(X40&lt;Methodology!$B$4,"Acceptance expired - breach open","Breach - not accepted")),"Breach - not accepted")))))</f>
        <v/>
      </c>
      <c r="Z40" s="40"/>
      <c r="AA40" s="38" t="str">
        <f>IF(OR(A40="",Z40=""),"",IF(Z40&lt;Methodology!$B$4,"Overdue","On schedule"))</f>
        <v/>
      </c>
      <c r="AB40" s="38" t="str">
        <f>IF(OR(U40="",U40="Within appetite"),"",MAX(AB$5:AB39)+1)</f>
        <v/>
      </c>
      <c r="AC40" s="38" t="str">
        <f>IF(A40="","",COUNTIF('Treatment Tracker'!$B$6:$B$105,A40)-COUNTIFS('Treatment Tracker'!$B$6:$B$105,A40,'Treatment Tracker'!$H$6:$H$105,"Completed")-COUNTIFS('Treatment Tracker'!$B$6:$B$105,A40,'Treatment Tracker'!$H$6:$H$105,"Cancelled"))</f>
        <v/>
      </c>
      <c r="AD40" s="38" t="str">
        <f t="shared" si="19"/>
        <v/>
      </c>
      <c r="AE40" s="35"/>
      <c r="AF40" s="35"/>
      <c r="AG40" s="40"/>
      <c r="AH40" s="35"/>
      <c r="AI40" s="38" t="str">
        <f>IF(A40="","",IF(OR(K40="",L40=""),"No assessment",IF(OR(NOT(ISNUMBER(K40)),NOT(ISNUMBER(L40))),"Invalid residual ratings",IF(OR(K40&lt;1,K40&gt;5,L40&lt;1,L40&gt;5,INT(K40)&lt;&gt;K40,INT(L40)&lt;&gt;L40),"Invalid residual ratings",IF(OR(AE40="",AF40="",AG40="",AH40=""),"Incomplete evidence",IF(NOT(ISNUMBER(AG40)),"Invalid assessment date",IF(OR(AG40&gt;Methodology!$B$4,AG40&lt;=0),"Invalid assessment date",IF(AG40+Methodology!$B$3&lt;Methodology!$B$4,"Expired",IF(AL40&lt;&gt;"Approved","Approval not confirmed","Valid")))))))))</f>
        <v/>
      </c>
      <c r="AJ40" s="38" t="str">
        <f>IF(OR(F40="",G40=""),"",MAX(1,ROUND(F40*(1-IFERROR(INDEX(Methodology!$B$41:$B$44,MATCH(J40,Methodology!$A$41:$A$44,0)),0)),0))*G40)</f>
        <v/>
      </c>
      <c r="AK40" s="38" t="str">
        <f t="shared" si="20"/>
        <v/>
      </c>
      <c r="AL40" s="36"/>
    </row>
    <row r="41" spans="1:38" x14ac:dyDescent="0.35">
      <c r="A41" s="35"/>
      <c r="B41" s="24"/>
      <c r="C41" s="24"/>
      <c r="D41" s="35"/>
      <c r="E41" s="35"/>
      <c r="F41" s="36"/>
      <c r="G41" s="36"/>
      <c r="H41" s="37" t="str">
        <f t="shared" si="14"/>
        <v/>
      </c>
      <c r="I41" s="38" t="str">
        <f>IF(NOT(ISNUMBER(H41)),"",INDEX(Methodology!$B$26:$B$29,MATCH(H41,Methodology!$A$26:$A$29,1)))</f>
        <v/>
      </c>
      <c r="J41" s="35"/>
      <c r="K41" s="36"/>
      <c r="L41" s="36"/>
      <c r="M41" s="37" t="str">
        <f t="shared" si="15"/>
        <v/>
      </c>
      <c r="N41" s="37" t="str">
        <f t="shared" si="16"/>
        <v/>
      </c>
      <c r="O41" s="37" t="str">
        <f t="shared" si="17"/>
        <v/>
      </c>
      <c r="P41" s="38" t="str">
        <f>IF(O41="","",INDEX(Methodology!$B$26:$B$29,MATCH(O41,Methodology!$A$26:$A$29,1)))</f>
        <v/>
      </c>
      <c r="Q41" s="36"/>
      <c r="R41" s="37" t="str">
        <f t="shared" si="18"/>
        <v/>
      </c>
      <c r="S41" s="37" t="str">
        <f>IF(D41="","",IFERROR(IF(OR(INDEX(Appetite!$I$6:$I$17,MATCH(D41,Appetite!$A$6:$A$17,0))="OK",INDEX(Appetite!$I$6:$I$17,MATCH(D41,Appetite!$A$6:$A$17,0))="Review overdue - approved"),INDEX(Appetite!$C$6:$C$17,MATCH(D41,Appetite!$A$6:$A$17,0)),""),""))</f>
        <v/>
      </c>
      <c r="T41" s="37" t="str">
        <f>IF(D41="","",IFERROR(IF(OR(INDEX(Appetite!$I$6:$I$17,MATCH(D41,Appetite!$A$6:$A$17,0))="OK",INDEX(Appetite!$I$6:$I$17,MATCH(D41,Appetite!$A$6:$A$17,0))="Review overdue - approved"),INDEX(Appetite!$D$6:$D$17,MATCH(D41,Appetite!$A$6:$A$17,0)),""),""))</f>
        <v/>
      </c>
      <c r="U41" s="38" t="str">
        <f>IF(A41="","",IF(H41="Invalid inherent ratings","Invalid inherent ratings",IF(O41="","Assessment missing",IF(COUNTIF(Appetite!$A$6:$A$17,D41)=0,"Configuration missing",IF(OR(S41="",T41=""),"Configuration: "&amp;INDEX(Appetite!$I$6:$I$17,MATCH(D41,Appetite!$A$6:$A$17,0)),IF(O41&gt;T41,"Tolerance breach",IF(O41&gt;S41,"Appetite breach","Within appetite")))))))</f>
        <v/>
      </c>
      <c r="V41" s="38" t="str">
        <f>IF(A41="","",IF(COUNTIFS('Risk Acceptance Register'!$B$6:$B$105,A41,'Risk Acceptance Register'!$I$6:$I$105,"Approved")&gt;0,"Yes","No"))</f>
        <v/>
      </c>
      <c r="W41" s="38" t="str">
        <f>IF(V41&lt;&gt;"Yes","",IFERROR(IF(COUNTIFS('Risk Acceptance Register'!$B$6:$B$105,A41,'Risk Acceptance Register'!$T$6:$T$105,"Eligible")&gt;0,LOOKUP(2,1/(('Risk Acceptance Register'!$B$6:$B$105=A41)*('Risk Acceptance Register'!$T$6:$T$105="Eligible")),'Risk Acceptance Register'!$J$6:$J$105),LOOKUP(2,1/(('Risk Acceptance Register'!$B$6:$B$105=A41)*('Risk Acceptance Register'!$I$6:$I$105="Approved")),'Risk Acceptance Register'!$J$6:$J$105))&amp;"",""))</f>
        <v/>
      </c>
      <c r="X41" s="39" t="str">
        <f>IF(V41&lt;&gt;"Yes","",IFERROR(IF(IF(COUNTIFS('Risk Acceptance Register'!$B$6:$B$105,A41,'Risk Acceptance Register'!$T$6:$T$105,"Eligible")&gt;0,LOOKUP(2,1/(('Risk Acceptance Register'!$B$6:$B$105=A41)*('Risk Acceptance Register'!$T$6:$T$105="Eligible")),'Risk Acceptance Register'!$M$6:$M$105),LOOKUP(2,1/(('Risk Acceptance Register'!$B$6:$B$105=A41)*('Risk Acceptance Register'!$I$6:$I$105="Approved")),'Risk Acceptance Register'!$M$6:$M$105))=0,"",IF(COUNTIFS('Risk Acceptance Register'!$B$6:$B$105,A41,'Risk Acceptance Register'!$T$6:$T$105,"Eligible")&gt;0,LOOKUP(2,1/(('Risk Acceptance Register'!$B$6:$B$105=A41)*('Risk Acceptance Register'!$T$6:$T$105="Eligible")),'Risk Acceptance Register'!$M$6:$M$105),LOOKUP(2,1/(('Risk Acceptance Register'!$B$6:$B$105=A41)*('Risk Acceptance Register'!$I$6:$I$105="Approved")),'Risk Acceptance Register'!$M$6:$M$105))),""))</f>
        <v/>
      </c>
      <c r="Y41" s="38" t="str">
        <f>IF(A41="","",IF(U41="Within appetite","Within appetite",IF(AND(U41&lt;&gt;"Appetite breach",U41&lt;&gt;"Tolerance breach"),U41,IF(COUNTIFS('Risk Acceptance Register'!$B$6:$B$105,A41,'Risk Acceptance Register'!$T$6:$T$105,"Eligible")&gt;0,"Breach - formally accepted",IF(V41="Yes",IF(X41="","Accepted - expiry not set",IF(X41&lt;Methodology!$B$4,"Acceptance expired - breach open","Breach - not accepted")),"Breach - not accepted")))))</f>
        <v/>
      </c>
      <c r="Z41" s="40"/>
      <c r="AA41" s="38" t="str">
        <f>IF(OR(A41="",Z41=""),"",IF(Z41&lt;Methodology!$B$4,"Overdue","On schedule"))</f>
        <v/>
      </c>
      <c r="AB41" s="38" t="str">
        <f>IF(OR(U41="",U41="Within appetite"),"",MAX(AB$5:AB40)+1)</f>
        <v/>
      </c>
      <c r="AC41" s="38" t="str">
        <f>IF(A41="","",COUNTIF('Treatment Tracker'!$B$6:$B$105,A41)-COUNTIFS('Treatment Tracker'!$B$6:$B$105,A41,'Treatment Tracker'!$H$6:$H$105,"Completed")-COUNTIFS('Treatment Tracker'!$B$6:$B$105,A41,'Treatment Tracker'!$H$6:$H$105,"Cancelled"))</f>
        <v/>
      </c>
      <c r="AD41" s="38" t="str">
        <f t="shared" si="19"/>
        <v/>
      </c>
      <c r="AE41" s="35"/>
      <c r="AF41" s="35"/>
      <c r="AG41" s="40"/>
      <c r="AH41" s="35"/>
      <c r="AI41" s="38" t="str">
        <f>IF(A41="","",IF(OR(K41="",L41=""),"No assessment",IF(OR(NOT(ISNUMBER(K41)),NOT(ISNUMBER(L41))),"Invalid residual ratings",IF(OR(K41&lt;1,K41&gt;5,L41&lt;1,L41&gt;5,INT(K41)&lt;&gt;K41,INT(L41)&lt;&gt;L41),"Invalid residual ratings",IF(OR(AE41="",AF41="",AG41="",AH41=""),"Incomplete evidence",IF(NOT(ISNUMBER(AG41)),"Invalid assessment date",IF(OR(AG41&gt;Methodology!$B$4,AG41&lt;=0),"Invalid assessment date",IF(AG41+Methodology!$B$3&lt;Methodology!$B$4,"Expired",IF(AL41&lt;&gt;"Approved","Approval not confirmed","Valid")))))))))</f>
        <v/>
      </c>
      <c r="AJ41" s="38" t="str">
        <f>IF(OR(F41="",G41=""),"",MAX(1,ROUND(F41*(1-IFERROR(INDEX(Methodology!$B$41:$B$44,MATCH(J41,Methodology!$A$41:$A$44,0)),0)),0))*G41)</f>
        <v/>
      </c>
      <c r="AK41" s="38" t="str">
        <f t="shared" si="20"/>
        <v/>
      </c>
      <c r="AL41" s="36"/>
    </row>
    <row r="42" spans="1:38" x14ac:dyDescent="0.35">
      <c r="A42" s="35"/>
      <c r="B42" s="24"/>
      <c r="C42" s="24"/>
      <c r="D42" s="35"/>
      <c r="E42" s="35"/>
      <c r="F42" s="36"/>
      <c r="G42" s="36"/>
      <c r="H42" s="37" t="str">
        <f t="shared" si="14"/>
        <v/>
      </c>
      <c r="I42" s="38" t="str">
        <f>IF(NOT(ISNUMBER(H42)),"",INDEX(Methodology!$B$26:$B$29,MATCH(H42,Methodology!$A$26:$A$29,1)))</f>
        <v/>
      </c>
      <c r="J42" s="35"/>
      <c r="K42" s="36"/>
      <c r="L42" s="36"/>
      <c r="M42" s="37" t="str">
        <f t="shared" si="15"/>
        <v/>
      </c>
      <c r="N42" s="37" t="str">
        <f t="shared" si="16"/>
        <v/>
      </c>
      <c r="O42" s="37" t="str">
        <f t="shared" si="17"/>
        <v/>
      </c>
      <c r="P42" s="38" t="str">
        <f>IF(O42="","",INDEX(Methodology!$B$26:$B$29,MATCH(O42,Methodology!$A$26:$A$29,1)))</f>
        <v/>
      </c>
      <c r="Q42" s="36"/>
      <c r="R42" s="37" t="str">
        <f t="shared" si="18"/>
        <v/>
      </c>
      <c r="S42" s="37" t="str">
        <f>IF(D42="","",IFERROR(IF(OR(INDEX(Appetite!$I$6:$I$17,MATCH(D42,Appetite!$A$6:$A$17,0))="OK",INDEX(Appetite!$I$6:$I$17,MATCH(D42,Appetite!$A$6:$A$17,0))="Review overdue - approved"),INDEX(Appetite!$C$6:$C$17,MATCH(D42,Appetite!$A$6:$A$17,0)),""),""))</f>
        <v/>
      </c>
      <c r="T42" s="37" t="str">
        <f>IF(D42="","",IFERROR(IF(OR(INDEX(Appetite!$I$6:$I$17,MATCH(D42,Appetite!$A$6:$A$17,0))="OK",INDEX(Appetite!$I$6:$I$17,MATCH(D42,Appetite!$A$6:$A$17,0))="Review overdue - approved"),INDEX(Appetite!$D$6:$D$17,MATCH(D42,Appetite!$A$6:$A$17,0)),""),""))</f>
        <v/>
      </c>
      <c r="U42" s="38" t="str">
        <f>IF(A42="","",IF(H42="Invalid inherent ratings","Invalid inherent ratings",IF(O42="","Assessment missing",IF(COUNTIF(Appetite!$A$6:$A$17,D42)=0,"Configuration missing",IF(OR(S42="",T42=""),"Configuration: "&amp;INDEX(Appetite!$I$6:$I$17,MATCH(D42,Appetite!$A$6:$A$17,0)),IF(O42&gt;T42,"Tolerance breach",IF(O42&gt;S42,"Appetite breach","Within appetite")))))))</f>
        <v/>
      </c>
      <c r="V42" s="38" t="str">
        <f>IF(A42="","",IF(COUNTIFS('Risk Acceptance Register'!$B$6:$B$105,A42,'Risk Acceptance Register'!$I$6:$I$105,"Approved")&gt;0,"Yes","No"))</f>
        <v/>
      </c>
      <c r="W42" s="38" t="str">
        <f>IF(V42&lt;&gt;"Yes","",IFERROR(IF(COUNTIFS('Risk Acceptance Register'!$B$6:$B$105,A42,'Risk Acceptance Register'!$T$6:$T$105,"Eligible")&gt;0,LOOKUP(2,1/(('Risk Acceptance Register'!$B$6:$B$105=A42)*('Risk Acceptance Register'!$T$6:$T$105="Eligible")),'Risk Acceptance Register'!$J$6:$J$105),LOOKUP(2,1/(('Risk Acceptance Register'!$B$6:$B$105=A42)*('Risk Acceptance Register'!$I$6:$I$105="Approved")),'Risk Acceptance Register'!$J$6:$J$105))&amp;"",""))</f>
        <v/>
      </c>
      <c r="X42" s="39" t="str">
        <f>IF(V42&lt;&gt;"Yes","",IFERROR(IF(IF(COUNTIFS('Risk Acceptance Register'!$B$6:$B$105,A42,'Risk Acceptance Register'!$T$6:$T$105,"Eligible")&gt;0,LOOKUP(2,1/(('Risk Acceptance Register'!$B$6:$B$105=A42)*('Risk Acceptance Register'!$T$6:$T$105="Eligible")),'Risk Acceptance Register'!$M$6:$M$105),LOOKUP(2,1/(('Risk Acceptance Register'!$B$6:$B$105=A42)*('Risk Acceptance Register'!$I$6:$I$105="Approved")),'Risk Acceptance Register'!$M$6:$M$105))=0,"",IF(COUNTIFS('Risk Acceptance Register'!$B$6:$B$105,A42,'Risk Acceptance Register'!$T$6:$T$105,"Eligible")&gt;0,LOOKUP(2,1/(('Risk Acceptance Register'!$B$6:$B$105=A42)*('Risk Acceptance Register'!$T$6:$T$105="Eligible")),'Risk Acceptance Register'!$M$6:$M$105),LOOKUP(2,1/(('Risk Acceptance Register'!$B$6:$B$105=A42)*('Risk Acceptance Register'!$I$6:$I$105="Approved")),'Risk Acceptance Register'!$M$6:$M$105))),""))</f>
        <v/>
      </c>
      <c r="Y42" s="38" t="str">
        <f>IF(A42="","",IF(U42="Within appetite","Within appetite",IF(AND(U42&lt;&gt;"Appetite breach",U42&lt;&gt;"Tolerance breach"),U42,IF(COUNTIFS('Risk Acceptance Register'!$B$6:$B$105,A42,'Risk Acceptance Register'!$T$6:$T$105,"Eligible")&gt;0,"Breach - formally accepted",IF(V42="Yes",IF(X42="","Accepted - expiry not set",IF(X42&lt;Methodology!$B$4,"Acceptance expired - breach open","Breach - not accepted")),"Breach - not accepted")))))</f>
        <v/>
      </c>
      <c r="Z42" s="40"/>
      <c r="AA42" s="38" t="str">
        <f>IF(OR(A42="",Z42=""),"",IF(Z42&lt;Methodology!$B$4,"Overdue","On schedule"))</f>
        <v/>
      </c>
      <c r="AB42" s="38" t="str">
        <f>IF(OR(U42="",U42="Within appetite"),"",MAX(AB$5:AB41)+1)</f>
        <v/>
      </c>
      <c r="AC42" s="38" t="str">
        <f>IF(A42="","",COUNTIF('Treatment Tracker'!$B$6:$B$105,A42)-COUNTIFS('Treatment Tracker'!$B$6:$B$105,A42,'Treatment Tracker'!$H$6:$H$105,"Completed")-COUNTIFS('Treatment Tracker'!$B$6:$B$105,A42,'Treatment Tracker'!$H$6:$H$105,"Cancelled"))</f>
        <v/>
      </c>
      <c r="AD42" s="38" t="str">
        <f t="shared" si="19"/>
        <v/>
      </c>
      <c r="AE42" s="35"/>
      <c r="AF42" s="35"/>
      <c r="AG42" s="40"/>
      <c r="AH42" s="35"/>
      <c r="AI42" s="38" t="str">
        <f>IF(A42="","",IF(OR(K42="",L42=""),"No assessment",IF(OR(NOT(ISNUMBER(K42)),NOT(ISNUMBER(L42))),"Invalid residual ratings",IF(OR(K42&lt;1,K42&gt;5,L42&lt;1,L42&gt;5,INT(K42)&lt;&gt;K42,INT(L42)&lt;&gt;L42),"Invalid residual ratings",IF(OR(AE42="",AF42="",AG42="",AH42=""),"Incomplete evidence",IF(NOT(ISNUMBER(AG42)),"Invalid assessment date",IF(OR(AG42&gt;Methodology!$B$4,AG42&lt;=0),"Invalid assessment date",IF(AG42+Methodology!$B$3&lt;Methodology!$B$4,"Expired",IF(AL42&lt;&gt;"Approved","Approval not confirmed","Valid")))))))))</f>
        <v/>
      </c>
      <c r="AJ42" s="38" t="str">
        <f>IF(OR(F42="",G42=""),"",MAX(1,ROUND(F42*(1-IFERROR(INDEX(Methodology!$B$41:$B$44,MATCH(J42,Methodology!$A$41:$A$44,0)),0)),0))*G42)</f>
        <v/>
      </c>
      <c r="AK42" s="38" t="str">
        <f t="shared" si="20"/>
        <v/>
      </c>
      <c r="AL42" s="36"/>
    </row>
    <row r="43" spans="1:38" x14ac:dyDescent="0.35">
      <c r="A43" s="35"/>
      <c r="B43" s="24"/>
      <c r="C43" s="24"/>
      <c r="D43" s="35"/>
      <c r="E43" s="35"/>
      <c r="F43" s="36"/>
      <c r="G43" s="36"/>
      <c r="H43" s="37" t="str">
        <f t="shared" si="14"/>
        <v/>
      </c>
      <c r="I43" s="38" t="str">
        <f>IF(NOT(ISNUMBER(H43)),"",INDEX(Methodology!$B$26:$B$29,MATCH(H43,Methodology!$A$26:$A$29,1)))</f>
        <v/>
      </c>
      <c r="J43" s="35"/>
      <c r="K43" s="36"/>
      <c r="L43" s="36"/>
      <c r="M43" s="37" t="str">
        <f t="shared" si="15"/>
        <v/>
      </c>
      <c r="N43" s="37" t="str">
        <f t="shared" si="16"/>
        <v/>
      </c>
      <c r="O43" s="37" t="str">
        <f t="shared" si="17"/>
        <v/>
      </c>
      <c r="P43" s="38" t="str">
        <f>IF(O43="","",INDEX(Methodology!$B$26:$B$29,MATCH(O43,Methodology!$A$26:$A$29,1)))</f>
        <v/>
      </c>
      <c r="Q43" s="36"/>
      <c r="R43" s="37" t="str">
        <f t="shared" si="18"/>
        <v/>
      </c>
      <c r="S43" s="37" t="str">
        <f>IF(D43="","",IFERROR(IF(OR(INDEX(Appetite!$I$6:$I$17,MATCH(D43,Appetite!$A$6:$A$17,0))="OK",INDEX(Appetite!$I$6:$I$17,MATCH(D43,Appetite!$A$6:$A$17,0))="Review overdue - approved"),INDEX(Appetite!$C$6:$C$17,MATCH(D43,Appetite!$A$6:$A$17,0)),""),""))</f>
        <v/>
      </c>
      <c r="T43" s="37" t="str">
        <f>IF(D43="","",IFERROR(IF(OR(INDEX(Appetite!$I$6:$I$17,MATCH(D43,Appetite!$A$6:$A$17,0))="OK",INDEX(Appetite!$I$6:$I$17,MATCH(D43,Appetite!$A$6:$A$17,0))="Review overdue - approved"),INDEX(Appetite!$D$6:$D$17,MATCH(D43,Appetite!$A$6:$A$17,0)),""),""))</f>
        <v/>
      </c>
      <c r="U43" s="38" t="str">
        <f>IF(A43="","",IF(H43="Invalid inherent ratings","Invalid inherent ratings",IF(O43="","Assessment missing",IF(COUNTIF(Appetite!$A$6:$A$17,D43)=0,"Configuration missing",IF(OR(S43="",T43=""),"Configuration: "&amp;INDEX(Appetite!$I$6:$I$17,MATCH(D43,Appetite!$A$6:$A$17,0)),IF(O43&gt;T43,"Tolerance breach",IF(O43&gt;S43,"Appetite breach","Within appetite")))))))</f>
        <v/>
      </c>
      <c r="V43" s="38" t="str">
        <f>IF(A43="","",IF(COUNTIFS('Risk Acceptance Register'!$B$6:$B$105,A43,'Risk Acceptance Register'!$I$6:$I$105,"Approved")&gt;0,"Yes","No"))</f>
        <v/>
      </c>
      <c r="W43" s="38" t="str">
        <f>IF(V43&lt;&gt;"Yes","",IFERROR(IF(COUNTIFS('Risk Acceptance Register'!$B$6:$B$105,A43,'Risk Acceptance Register'!$T$6:$T$105,"Eligible")&gt;0,LOOKUP(2,1/(('Risk Acceptance Register'!$B$6:$B$105=A43)*('Risk Acceptance Register'!$T$6:$T$105="Eligible")),'Risk Acceptance Register'!$J$6:$J$105),LOOKUP(2,1/(('Risk Acceptance Register'!$B$6:$B$105=A43)*('Risk Acceptance Register'!$I$6:$I$105="Approved")),'Risk Acceptance Register'!$J$6:$J$105))&amp;"",""))</f>
        <v/>
      </c>
      <c r="X43" s="39" t="str">
        <f>IF(V43&lt;&gt;"Yes","",IFERROR(IF(IF(COUNTIFS('Risk Acceptance Register'!$B$6:$B$105,A43,'Risk Acceptance Register'!$T$6:$T$105,"Eligible")&gt;0,LOOKUP(2,1/(('Risk Acceptance Register'!$B$6:$B$105=A43)*('Risk Acceptance Register'!$T$6:$T$105="Eligible")),'Risk Acceptance Register'!$M$6:$M$105),LOOKUP(2,1/(('Risk Acceptance Register'!$B$6:$B$105=A43)*('Risk Acceptance Register'!$I$6:$I$105="Approved")),'Risk Acceptance Register'!$M$6:$M$105))=0,"",IF(COUNTIFS('Risk Acceptance Register'!$B$6:$B$105,A43,'Risk Acceptance Register'!$T$6:$T$105,"Eligible")&gt;0,LOOKUP(2,1/(('Risk Acceptance Register'!$B$6:$B$105=A43)*('Risk Acceptance Register'!$T$6:$T$105="Eligible")),'Risk Acceptance Register'!$M$6:$M$105),LOOKUP(2,1/(('Risk Acceptance Register'!$B$6:$B$105=A43)*('Risk Acceptance Register'!$I$6:$I$105="Approved")),'Risk Acceptance Register'!$M$6:$M$105))),""))</f>
        <v/>
      </c>
      <c r="Y43" s="38" t="str">
        <f>IF(A43="","",IF(U43="Within appetite","Within appetite",IF(AND(U43&lt;&gt;"Appetite breach",U43&lt;&gt;"Tolerance breach"),U43,IF(COUNTIFS('Risk Acceptance Register'!$B$6:$B$105,A43,'Risk Acceptance Register'!$T$6:$T$105,"Eligible")&gt;0,"Breach - formally accepted",IF(V43="Yes",IF(X43="","Accepted - expiry not set",IF(X43&lt;Methodology!$B$4,"Acceptance expired - breach open","Breach - not accepted")),"Breach - not accepted")))))</f>
        <v/>
      </c>
      <c r="Z43" s="40"/>
      <c r="AA43" s="38" t="str">
        <f>IF(OR(A43="",Z43=""),"",IF(Z43&lt;Methodology!$B$4,"Overdue","On schedule"))</f>
        <v/>
      </c>
      <c r="AB43" s="38" t="str">
        <f>IF(OR(U43="",U43="Within appetite"),"",MAX(AB$5:AB42)+1)</f>
        <v/>
      </c>
      <c r="AC43" s="38" t="str">
        <f>IF(A43="","",COUNTIF('Treatment Tracker'!$B$6:$B$105,A43)-COUNTIFS('Treatment Tracker'!$B$6:$B$105,A43,'Treatment Tracker'!$H$6:$H$105,"Completed")-COUNTIFS('Treatment Tracker'!$B$6:$B$105,A43,'Treatment Tracker'!$H$6:$H$105,"Cancelled"))</f>
        <v/>
      </c>
      <c r="AD43" s="38" t="str">
        <f t="shared" si="19"/>
        <v/>
      </c>
      <c r="AE43" s="35"/>
      <c r="AF43" s="35"/>
      <c r="AG43" s="40"/>
      <c r="AH43" s="35"/>
      <c r="AI43" s="38" t="str">
        <f>IF(A43="","",IF(OR(K43="",L43=""),"No assessment",IF(OR(NOT(ISNUMBER(K43)),NOT(ISNUMBER(L43))),"Invalid residual ratings",IF(OR(K43&lt;1,K43&gt;5,L43&lt;1,L43&gt;5,INT(K43)&lt;&gt;K43,INT(L43)&lt;&gt;L43),"Invalid residual ratings",IF(OR(AE43="",AF43="",AG43="",AH43=""),"Incomplete evidence",IF(NOT(ISNUMBER(AG43)),"Invalid assessment date",IF(OR(AG43&gt;Methodology!$B$4,AG43&lt;=0),"Invalid assessment date",IF(AG43+Methodology!$B$3&lt;Methodology!$B$4,"Expired",IF(AL43&lt;&gt;"Approved","Approval not confirmed","Valid")))))))))</f>
        <v/>
      </c>
      <c r="AJ43" s="38" t="str">
        <f>IF(OR(F43="",G43=""),"",MAX(1,ROUND(F43*(1-IFERROR(INDEX(Methodology!$B$41:$B$44,MATCH(J43,Methodology!$A$41:$A$44,0)),0)),0))*G43)</f>
        <v/>
      </c>
      <c r="AK43" s="38" t="str">
        <f t="shared" si="20"/>
        <v/>
      </c>
      <c r="AL43" s="36"/>
    </row>
    <row r="44" spans="1:38" x14ac:dyDescent="0.35">
      <c r="A44" s="35"/>
      <c r="B44" s="24"/>
      <c r="C44" s="24"/>
      <c r="D44" s="35"/>
      <c r="E44" s="35"/>
      <c r="F44" s="36"/>
      <c r="G44" s="36"/>
      <c r="H44" s="37" t="str">
        <f t="shared" si="14"/>
        <v/>
      </c>
      <c r="I44" s="38" t="str">
        <f>IF(NOT(ISNUMBER(H44)),"",INDEX(Methodology!$B$26:$B$29,MATCH(H44,Methodology!$A$26:$A$29,1)))</f>
        <v/>
      </c>
      <c r="J44" s="35"/>
      <c r="K44" s="36"/>
      <c r="L44" s="36"/>
      <c r="M44" s="37" t="str">
        <f t="shared" si="15"/>
        <v/>
      </c>
      <c r="N44" s="37" t="str">
        <f t="shared" si="16"/>
        <v/>
      </c>
      <c r="O44" s="37" t="str">
        <f t="shared" si="17"/>
        <v/>
      </c>
      <c r="P44" s="38" t="str">
        <f>IF(O44="","",INDEX(Methodology!$B$26:$B$29,MATCH(O44,Methodology!$A$26:$A$29,1)))</f>
        <v/>
      </c>
      <c r="Q44" s="36"/>
      <c r="R44" s="37" t="str">
        <f t="shared" si="18"/>
        <v/>
      </c>
      <c r="S44" s="37" t="str">
        <f>IF(D44="","",IFERROR(IF(OR(INDEX(Appetite!$I$6:$I$17,MATCH(D44,Appetite!$A$6:$A$17,0))="OK",INDEX(Appetite!$I$6:$I$17,MATCH(D44,Appetite!$A$6:$A$17,0))="Review overdue - approved"),INDEX(Appetite!$C$6:$C$17,MATCH(D44,Appetite!$A$6:$A$17,0)),""),""))</f>
        <v/>
      </c>
      <c r="T44" s="37" t="str">
        <f>IF(D44="","",IFERROR(IF(OR(INDEX(Appetite!$I$6:$I$17,MATCH(D44,Appetite!$A$6:$A$17,0))="OK",INDEX(Appetite!$I$6:$I$17,MATCH(D44,Appetite!$A$6:$A$17,0))="Review overdue - approved"),INDEX(Appetite!$D$6:$D$17,MATCH(D44,Appetite!$A$6:$A$17,0)),""),""))</f>
        <v/>
      </c>
      <c r="U44" s="38" t="str">
        <f>IF(A44="","",IF(H44="Invalid inherent ratings","Invalid inherent ratings",IF(O44="","Assessment missing",IF(COUNTIF(Appetite!$A$6:$A$17,D44)=0,"Configuration missing",IF(OR(S44="",T44=""),"Configuration: "&amp;INDEX(Appetite!$I$6:$I$17,MATCH(D44,Appetite!$A$6:$A$17,0)),IF(O44&gt;T44,"Tolerance breach",IF(O44&gt;S44,"Appetite breach","Within appetite")))))))</f>
        <v/>
      </c>
      <c r="V44" s="38" t="str">
        <f>IF(A44="","",IF(COUNTIFS('Risk Acceptance Register'!$B$6:$B$105,A44,'Risk Acceptance Register'!$I$6:$I$105,"Approved")&gt;0,"Yes","No"))</f>
        <v/>
      </c>
      <c r="W44" s="38" t="str">
        <f>IF(V44&lt;&gt;"Yes","",IFERROR(IF(COUNTIFS('Risk Acceptance Register'!$B$6:$B$105,A44,'Risk Acceptance Register'!$T$6:$T$105,"Eligible")&gt;0,LOOKUP(2,1/(('Risk Acceptance Register'!$B$6:$B$105=A44)*('Risk Acceptance Register'!$T$6:$T$105="Eligible")),'Risk Acceptance Register'!$J$6:$J$105),LOOKUP(2,1/(('Risk Acceptance Register'!$B$6:$B$105=A44)*('Risk Acceptance Register'!$I$6:$I$105="Approved")),'Risk Acceptance Register'!$J$6:$J$105))&amp;"",""))</f>
        <v/>
      </c>
      <c r="X44" s="39" t="str">
        <f>IF(V44&lt;&gt;"Yes","",IFERROR(IF(IF(COUNTIFS('Risk Acceptance Register'!$B$6:$B$105,A44,'Risk Acceptance Register'!$T$6:$T$105,"Eligible")&gt;0,LOOKUP(2,1/(('Risk Acceptance Register'!$B$6:$B$105=A44)*('Risk Acceptance Register'!$T$6:$T$105="Eligible")),'Risk Acceptance Register'!$M$6:$M$105),LOOKUP(2,1/(('Risk Acceptance Register'!$B$6:$B$105=A44)*('Risk Acceptance Register'!$I$6:$I$105="Approved")),'Risk Acceptance Register'!$M$6:$M$105))=0,"",IF(COUNTIFS('Risk Acceptance Register'!$B$6:$B$105,A44,'Risk Acceptance Register'!$T$6:$T$105,"Eligible")&gt;0,LOOKUP(2,1/(('Risk Acceptance Register'!$B$6:$B$105=A44)*('Risk Acceptance Register'!$T$6:$T$105="Eligible")),'Risk Acceptance Register'!$M$6:$M$105),LOOKUP(2,1/(('Risk Acceptance Register'!$B$6:$B$105=A44)*('Risk Acceptance Register'!$I$6:$I$105="Approved")),'Risk Acceptance Register'!$M$6:$M$105))),""))</f>
        <v/>
      </c>
      <c r="Y44" s="38" t="str">
        <f>IF(A44="","",IF(U44="Within appetite","Within appetite",IF(AND(U44&lt;&gt;"Appetite breach",U44&lt;&gt;"Tolerance breach"),U44,IF(COUNTIFS('Risk Acceptance Register'!$B$6:$B$105,A44,'Risk Acceptance Register'!$T$6:$T$105,"Eligible")&gt;0,"Breach - formally accepted",IF(V44="Yes",IF(X44="","Accepted - expiry not set",IF(X44&lt;Methodology!$B$4,"Acceptance expired - breach open","Breach - not accepted")),"Breach - not accepted")))))</f>
        <v/>
      </c>
      <c r="Z44" s="40"/>
      <c r="AA44" s="38" t="str">
        <f>IF(OR(A44="",Z44=""),"",IF(Z44&lt;Methodology!$B$4,"Overdue","On schedule"))</f>
        <v/>
      </c>
      <c r="AB44" s="38" t="str">
        <f>IF(OR(U44="",U44="Within appetite"),"",MAX(AB$5:AB43)+1)</f>
        <v/>
      </c>
      <c r="AC44" s="38" t="str">
        <f>IF(A44="","",COUNTIF('Treatment Tracker'!$B$6:$B$105,A44)-COUNTIFS('Treatment Tracker'!$B$6:$B$105,A44,'Treatment Tracker'!$H$6:$H$105,"Completed")-COUNTIFS('Treatment Tracker'!$B$6:$B$105,A44,'Treatment Tracker'!$H$6:$H$105,"Cancelled"))</f>
        <v/>
      </c>
      <c r="AD44" s="38" t="str">
        <f t="shared" si="19"/>
        <v/>
      </c>
      <c r="AE44" s="35"/>
      <c r="AF44" s="35"/>
      <c r="AG44" s="40"/>
      <c r="AH44" s="35"/>
      <c r="AI44" s="38" t="str">
        <f>IF(A44="","",IF(OR(K44="",L44=""),"No assessment",IF(OR(NOT(ISNUMBER(K44)),NOT(ISNUMBER(L44))),"Invalid residual ratings",IF(OR(K44&lt;1,K44&gt;5,L44&lt;1,L44&gt;5,INT(K44)&lt;&gt;K44,INT(L44)&lt;&gt;L44),"Invalid residual ratings",IF(OR(AE44="",AF44="",AG44="",AH44=""),"Incomplete evidence",IF(NOT(ISNUMBER(AG44)),"Invalid assessment date",IF(OR(AG44&gt;Methodology!$B$4,AG44&lt;=0),"Invalid assessment date",IF(AG44+Methodology!$B$3&lt;Methodology!$B$4,"Expired",IF(AL44&lt;&gt;"Approved","Approval not confirmed","Valid")))))))))</f>
        <v/>
      </c>
      <c r="AJ44" s="38" t="str">
        <f>IF(OR(F44="",G44=""),"",MAX(1,ROUND(F44*(1-IFERROR(INDEX(Methodology!$B$41:$B$44,MATCH(J44,Methodology!$A$41:$A$44,0)),0)),0))*G44)</f>
        <v/>
      </c>
      <c r="AK44" s="38" t="str">
        <f t="shared" si="20"/>
        <v/>
      </c>
      <c r="AL44" s="36"/>
    </row>
    <row r="45" spans="1:38" x14ac:dyDescent="0.35">
      <c r="A45" s="35"/>
      <c r="B45" s="24"/>
      <c r="C45" s="24"/>
      <c r="D45" s="35"/>
      <c r="E45" s="35"/>
      <c r="F45" s="36"/>
      <c r="G45" s="36"/>
      <c r="H45" s="37" t="str">
        <f t="shared" si="14"/>
        <v/>
      </c>
      <c r="I45" s="38" t="str">
        <f>IF(NOT(ISNUMBER(H45)),"",INDEX(Methodology!$B$26:$B$29,MATCH(H45,Methodology!$A$26:$A$29,1)))</f>
        <v/>
      </c>
      <c r="J45" s="35"/>
      <c r="K45" s="36"/>
      <c r="L45" s="36"/>
      <c r="M45" s="37" t="str">
        <f t="shared" si="15"/>
        <v/>
      </c>
      <c r="N45" s="37" t="str">
        <f t="shared" si="16"/>
        <v/>
      </c>
      <c r="O45" s="37" t="str">
        <f t="shared" si="17"/>
        <v/>
      </c>
      <c r="P45" s="38" t="str">
        <f>IF(O45="","",INDEX(Methodology!$B$26:$B$29,MATCH(O45,Methodology!$A$26:$A$29,1)))</f>
        <v/>
      </c>
      <c r="Q45" s="36"/>
      <c r="R45" s="37" t="str">
        <f t="shared" si="18"/>
        <v/>
      </c>
      <c r="S45" s="37" t="str">
        <f>IF(D45="","",IFERROR(IF(OR(INDEX(Appetite!$I$6:$I$17,MATCH(D45,Appetite!$A$6:$A$17,0))="OK",INDEX(Appetite!$I$6:$I$17,MATCH(D45,Appetite!$A$6:$A$17,0))="Review overdue - approved"),INDEX(Appetite!$C$6:$C$17,MATCH(D45,Appetite!$A$6:$A$17,0)),""),""))</f>
        <v/>
      </c>
      <c r="T45" s="37" t="str">
        <f>IF(D45="","",IFERROR(IF(OR(INDEX(Appetite!$I$6:$I$17,MATCH(D45,Appetite!$A$6:$A$17,0))="OK",INDEX(Appetite!$I$6:$I$17,MATCH(D45,Appetite!$A$6:$A$17,0))="Review overdue - approved"),INDEX(Appetite!$D$6:$D$17,MATCH(D45,Appetite!$A$6:$A$17,0)),""),""))</f>
        <v/>
      </c>
      <c r="U45" s="38" t="str">
        <f>IF(A45="","",IF(H45="Invalid inherent ratings","Invalid inherent ratings",IF(O45="","Assessment missing",IF(COUNTIF(Appetite!$A$6:$A$17,D45)=0,"Configuration missing",IF(OR(S45="",T45=""),"Configuration: "&amp;INDEX(Appetite!$I$6:$I$17,MATCH(D45,Appetite!$A$6:$A$17,0)),IF(O45&gt;T45,"Tolerance breach",IF(O45&gt;S45,"Appetite breach","Within appetite")))))))</f>
        <v/>
      </c>
      <c r="V45" s="38" t="str">
        <f>IF(A45="","",IF(COUNTIFS('Risk Acceptance Register'!$B$6:$B$105,A45,'Risk Acceptance Register'!$I$6:$I$105,"Approved")&gt;0,"Yes","No"))</f>
        <v/>
      </c>
      <c r="W45" s="38" t="str">
        <f>IF(V45&lt;&gt;"Yes","",IFERROR(IF(COUNTIFS('Risk Acceptance Register'!$B$6:$B$105,A45,'Risk Acceptance Register'!$T$6:$T$105,"Eligible")&gt;0,LOOKUP(2,1/(('Risk Acceptance Register'!$B$6:$B$105=A45)*('Risk Acceptance Register'!$T$6:$T$105="Eligible")),'Risk Acceptance Register'!$J$6:$J$105),LOOKUP(2,1/(('Risk Acceptance Register'!$B$6:$B$105=A45)*('Risk Acceptance Register'!$I$6:$I$105="Approved")),'Risk Acceptance Register'!$J$6:$J$105))&amp;"",""))</f>
        <v/>
      </c>
      <c r="X45" s="39" t="str">
        <f>IF(V45&lt;&gt;"Yes","",IFERROR(IF(IF(COUNTIFS('Risk Acceptance Register'!$B$6:$B$105,A45,'Risk Acceptance Register'!$T$6:$T$105,"Eligible")&gt;0,LOOKUP(2,1/(('Risk Acceptance Register'!$B$6:$B$105=A45)*('Risk Acceptance Register'!$T$6:$T$105="Eligible")),'Risk Acceptance Register'!$M$6:$M$105),LOOKUP(2,1/(('Risk Acceptance Register'!$B$6:$B$105=A45)*('Risk Acceptance Register'!$I$6:$I$105="Approved")),'Risk Acceptance Register'!$M$6:$M$105))=0,"",IF(COUNTIFS('Risk Acceptance Register'!$B$6:$B$105,A45,'Risk Acceptance Register'!$T$6:$T$105,"Eligible")&gt;0,LOOKUP(2,1/(('Risk Acceptance Register'!$B$6:$B$105=A45)*('Risk Acceptance Register'!$T$6:$T$105="Eligible")),'Risk Acceptance Register'!$M$6:$M$105),LOOKUP(2,1/(('Risk Acceptance Register'!$B$6:$B$105=A45)*('Risk Acceptance Register'!$I$6:$I$105="Approved")),'Risk Acceptance Register'!$M$6:$M$105))),""))</f>
        <v/>
      </c>
      <c r="Y45" s="38" t="str">
        <f>IF(A45="","",IF(U45="Within appetite","Within appetite",IF(AND(U45&lt;&gt;"Appetite breach",U45&lt;&gt;"Tolerance breach"),U45,IF(COUNTIFS('Risk Acceptance Register'!$B$6:$B$105,A45,'Risk Acceptance Register'!$T$6:$T$105,"Eligible")&gt;0,"Breach - formally accepted",IF(V45="Yes",IF(X45="","Accepted - expiry not set",IF(X45&lt;Methodology!$B$4,"Acceptance expired - breach open","Breach - not accepted")),"Breach - not accepted")))))</f>
        <v/>
      </c>
      <c r="Z45" s="40"/>
      <c r="AA45" s="38" t="str">
        <f>IF(OR(A45="",Z45=""),"",IF(Z45&lt;Methodology!$B$4,"Overdue","On schedule"))</f>
        <v/>
      </c>
      <c r="AB45" s="38" t="str">
        <f>IF(OR(U45="",U45="Within appetite"),"",MAX(AB$5:AB44)+1)</f>
        <v/>
      </c>
      <c r="AC45" s="38" t="str">
        <f>IF(A45="","",COUNTIF('Treatment Tracker'!$B$6:$B$105,A45)-COUNTIFS('Treatment Tracker'!$B$6:$B$105,A45,'Treatment Tracker'!$H$6:$H$105,"Completed")-COUNTIFS('Treatment Tracker'!$B$6:$B$105,A45,'Treatment Tracker'!$H$6:$H$105,"Cancelled"))</f>
        <v/>
      </c>
      <c r="AD45" s="38" t="str">
        <f t="shared" si="19"/>
        <v/>
      </c>
      <c r="AE45" s="35"/>
      <c r="AF45" s="35"/>
      <c r="AG45" s="40"/>
      <c r="AH45" s="35"/>
      <c r="AI45" s="38" t="str">
        <f>IF(A45="","",IF(OR(K45="",L45=""),"No assessment",IF(OR(NOT(ISNUMBER(K45)),NOT(ISNUMBER(L45))),"Invalid residual ratings",IF(OR(K45&lt;1,K45&gt;5,L45&lt;1,L45&gt;5,INT(K45)&lt;&gt;K45,INT(L45)&lt;&gt;L45),"Invalid residual ratings",IF(OR(AE45="",AF45="",AG45="",AH45=""),"Incomplete evidence",IF(NOT(ISNUMBER(AG45)),"Invalid assessment date",IF(OR(AG45&gt;Methodology!$B$4,AG45&lt;=0),"Invalid assessment date",IF(AG45+Methodology!$B$3&lt;Methodology!$B$4,"Expired",IF(AL45&lt;&gt;"Approved","Approval not confirmed","Valid")))))))))</f>
        <v/>
      </c>
      <c r="AJ45" s="38" t="str">
        <f>IF(OR(F45="",G45=""),"",MAX(1,ROUND(F45*(1-IFERROR(INDEX(Methodology!$B$41:$B$44,MATCH(J45,Methodology!$A$41:$A$44,0)),0)),0))*G45)</f>
        <v/>
      </c>
      <c r="AK45" s="38" t="str">
        <f t="shared" si="20"/>
        <v/>
      </c>
      <c r="AL45" s="36"/>
    </row>
    <row r="46" spans="1:38" x14ac:dyDescent="0.35">
      <c r="A46" s="35"/>
      <c r="B46" s="24"/>
      <c r="C46" s="24"/>
      <c r="D46" s="35"/>
      <c r="E46" s="35"/>
      <c r="F46" s="36"/>
      <c r="G46" s="36"/>
      <c r="H46" s="37" t="str">
        <f t="shared" si="14"/>
        <v/>
      </c>
      <c r="I46" s="38" t="str">
        <f>IF(NOT(ISNUMBER(H46)),"",INDEX(Methodology!$B$26:$B$29,MATCH(H46,Methodology!$A$26:$A$29,1)))</f>
        <v/>
      </c>
      <c r="J46" s="35"/>
      <c r="K46" s="36"/>
      <c r="L46" s="36"/>
      <c r="M46" s="37" t="str">
        <f t="shared" si="15"/>
        <v/>
      </c>
      <c r="N46" s="37" t="str">
        <f t="shared" si="16"/>
        <v/>
      </c>
      <c r="O46" s="37" t="str">
        <f t="shared" si="17"/>
        <v/>
      </c>
      <c r="P46" s="38" t="str">
        <f>IF(O46="","",INDEX(Methodology!$B$26:$B$29,MATCH(O46,Methodology!$A$26:$A$29,1)))</f>
        <v/>
      </c>
      <c r="Q46" s="36"/>
      <c r="R46" s="37" t="str">
        <f t="shared" si="18"/>
        <v/>
      </c>
      <c r="S46" s="37" t="str">
        <f>IF(D46="","",IFERROR(IF(OR(INDEX(Appetite!$I$6:$I$17,MATCH(D46,Appetite!$A$6:$A$17,0))="OK",INDEX(Appetite!$I$6:$I$17,MATCH(D46,Appetite!$A$6:$A$17,0))="Review overdue - approved"),INDEX(Appetite!$C$6:$C$17,MATCH(D46,Appetite!$A$6:$A$17,0)),""),""))</f>
        <v/>
      </c>
      <c r="T46" s="37" t="str">
        <f>IF(D46="","",IFERROR(IF(OR(INDEX(Appetite!$I$6:$I$17,MATCH(D46,Appetite!$A$6:$A$17,0))="OK",INDEX(Appetite!$I$6:$I$17,MATCH(D46,Appetite!$A$6:$A$17,0))="Review overdue - approved"),INDEX(Appetite!$D$6:$D$17,MATCH(D46,Appetite!$A$6:$A$17,0)),""),""))</f>
        <v/>
      </c>
      <c r="U46" s="38" t="str">
        <f>IF(A46="","",IF(H46="Invalid inherent ratings","Invalid inherent ratings",IF(O46="","Assessment missing",IF(COUNTIF(Appetite!$A$6:$A$17,D46)=0,"Configuration missing",IF(OR(S46="",T46=""),"Configuration: "&amp;INDEX(Appetite!$I$6:$I$17,MATCH(D46,Appetite!$A$6:$A$17,0)),IF(O46&gt;T46,"Tolerance breach",IF(O46&gt;S46,"Appetite breach","Within appetite")))))))</f>
        <v/>
      </c>
      <c r="V46" s="38" t="str">
        <f>IF(A46="","",IF(COUNTIFS('Risk Acceptance Register'!$B$6:$B$105,A46,'Risk Acceptance Register'!$I$6:$I$105,"Approved")&gt;0,"Yes","No"))</f>
        <v/>
      </c>
      <c r="W46" s="38" t="str">
        <f>IF(V46&lt;&gt;"Yes","",IFERROR(IF(COUNTIFS('Risk Acceptance Register'!$B$6:$B$105,A46,'Risk Acceptance Register'!$T$6:$T$105,"Eligible")&gt;0,LOOKUP(2,1/(('Risk Acceptance Register'!$B$6:$B$105=A46)*('Risk Acceptance Register'!$T$6:$T$105="Eligible")),'Risk Acceptance Register'!$J$6:$J$105),LOOKUP(2,1/(('Risk Acceptance Register'!$B$6:$B$105=A46)*('Risk Acceptance Register'!$I$6:$I$105="Approved")),'Risk Acceptance Register'!$J$6:$J$105))&amp;"",""))</f>
        <v/>
      </c>
      <c r="X46" s="39" t="str">
        <f>IF(V46&lt;&gt;"Yes","",IFERROR(IF(IF(COUNTIFS('Risk Acceptance Register'!$B$6:$B$105,A46,'Risk Acceptance Register'!$T$6:$T$105,"Eligible")&gt;0,LOOKUP(2,1/(('Risk Acceptance Register'!$B$6:$B$105=A46)*('Risk Acceptance Register'!$T$6:$T$105="Eligible")),'Risk Acceptance Register'!$M$6:$M$105),LOOKUP(2,1/(('Risk Acceptance Register'!$B$6:$B$105=A46)*('Risk Acceptance Register'!$I$6:$I$105="Approved")),'Risk Acceptance Register'!$M$6:$M$105))=0,"",IF(COUNTIFS('Risk Acceptance Register'!$B$6:$B$105,A46,'Risk Acceptance Register'!$T$6:$T$105,"Eligible")&gt;0,LOOKUP(2,1/(('Risk Acceptance Register'!$B$6:$B$105=A46)*('Risk Acceptance Register'!$T$6:$T$105="Eligible")),'Risk Acceptance Register'!$M$6:$M$105),LOOKUP(2,1/(('Risk Acceptance Register'!$B$6:$B$105=A46)*('Risk Acceptance Register'!$I$6:$I$105="Approved")),'Risk Acceptance Register'!$M$6:$M$105))),""))</f>
        <v/>
      </c>
      <c r="Y46" s="38" t="str">
        <f>IF(A46="","",IF(U46="Within appetite","Within appetite",IF(AND(U46&lt;&gt;"Appetite breach",U46&lt;&gt;"Tolerance breach"),U46,IF(COUNTIFS('Risk Acceptance Register'!$B$6:$B$105,A46,'Risk Acceptance Register'!$T$6:$T$105,"Eligible")&gt;0,"Breach - formally accepted",IF(V46="Yes",IF(X46="","Accepted - expiry not set",IF(X46&lt;Methodology!$B$4,"Acceptance expired - breach open","Breach - not accepted")),"Breach - not accepted")))))</f>
        <v/>
      </c>
      <c r="Z46" s="40"/>
      <c r="AA46" s="38" t="str">
        <f>IF(OR(A46="",Z46=""),"",IF(Z46&lt;Methodology!$B$4,"Overdue","On schedule"))</f>
        <v/>
      </c>
      <c r="AB46" s="38" t="str">
        <f>IF(OR(U46="",U46="Within appetite"),"",MAX(AB$5:AB45)+1)</f>
        <v/>
      </c>
      <c r="AC46" s="38" t="str">
        <f>IF(A46="","",COUNTIF('Treatment Tracker'!$B$6:$B$105,A46)-COUNTIFS('Treatment Tracker'!$B$6:$B$105,A46,'Treatment Tracker'!$H$6:$H$105,"Completed")-COUNTIFS('Treatment Tracker'!$B$6:$B$105,A46,'Treatment Tracker'!$H$6:$H$105,"Cancelled"))</f>
        <v/>
      </c>
      <c r="AD46" s="38" t="str">
        <f t="shared" si="19"/>
        <v/>
      </c>
      <c r="AE46" s="35"/>
      <c r="AF46" s="35"/>
      <c r="AG46" s="40"/>
      <c r="AH46" s="35"/>
      <c r="AI46" s="38" t="str">
        <f>IF(A46="","",IF(OR(K46="",L46=""),"No assessment",IF(OR(NOT(ISNUMBER(K46)),NOT(ISNUMBER(L46))),"Invalid residual ratings",IF(OR(K46&lt;1,K46&gt;5,L46&lt;1,L46&gt;5,INT(K46)&lt;&gt;K46,INT(L46)&lt;&gt;L46),"Invalid residual ratings",IF(OR(AE46="",AF46="",AG46="",AH46=""),"Incomplete evidence",IF(NOT(ISNUMBER(AG46)),"Invalid assessment date",IF(OR(AG46&gt;Methodology!$B$4,AG46&lt;=0),"Invalid assessment date",IF(AG46+Methodology!$B$3&lt;Methodology!$B$4,"Expired",IF(AL46&lt;&gt;"Approved","Approval not confirmed","Valid")))))))))</f>
        <v/>
      </c>
      <c r="AJ46" s="38" t="str">
        <f>IF(OR(F46="",G46=""),"",MAX(1,ROUND(F46*(1-IFERROR(INDEX(Methodology!$B$41:$B$44,MATCH(J46,Methodology!$A$41:$A$44,0)),0)),0))*G46)</f>
        <v/>
      </c>
      <c r="AK46" s="38" t="str">
        <f t="shared" si="20"/>
        <v/>
      </c>
      <c r="AL46" s="36"/>
    </row>
    <row r="47" spans="1:38" x14ac:dyDescent="0.35">
      <c r="A47" s="35"/>
      <c r="B47" s="24"/>
      <c r="C47" s="24"/>
      <c r="D47" s="35"/>
      <c r="E47" s="35"/>
      <c r="F47" s="36"/>
      <c r="G47" s="36"/>
      <c r="H47" s="37" t="str">
        <f t="shared" si="14"/>
        <v/>
      </c>
      <c r="I47" s="38" t="str">
        <f>IF(NOT(ISNUMBER(H47)),"",INDEX(Methodology!$B$26:$B$29,MATCH(H47,Methodology!$A$26:$A$29,1)))</f>
        <v/>
      </c>
      <c r="J47" s="35"/>
      <c r="K47" s="36"/>
      <c r="L47" s="36"/>
      <c r="M47" s="37" t="str">
        <f t="shared" si="15"/>
        <v/>
      </c>
      <c r="N47" s="37" t="str">
        <f t="shared" si="16"/>
        <v/>
      </c>
      <c r="O47" s="37" t="str">
        <f t="shared" si="17"/>
        <v/>
      </c>
      <c r="P47" s="38" t="str">
        <f>IF(O47="","",INDEX(Methodology!$B$26:$B$29,MATCH(O47,Methodology!$A$26:$A$29,1)))</f>
        <v/>
      </c>
      <c r="Q47" s="36"/>
      <c r="R47" s="37" t="str">
        <f t="shared" si="18"/>
        <v/>
      </c>
      <c r="S47" s="37" t="str">
        <f>IF(D47="","",IFERROR(IF(OR(INDEX(Appetite!$I$6:$I$17,MATCH(D47,Appetite!$A$6:$A$17,0))="OK",INDEX(Appetite!$I$6:$I$17,MATCH(D47,Appetite!$A$6:$A$17,0))="Review overdue - approved"),INDEX(Appetite!$C$6:$C$17,MATCH(D47,Appetite!$A$6:$A$17,0)),""),""))</f>
        <v/>
      </c>
      <c r="T47" s="37" t="str">
        <f>IF(D47="","",IFERROR(IF(OR(INDEX(Appetite!$I$6:$I$17,MATCH(D47,Appetite!$A$6:$A$17,0))="OK",INDEX(Appetite!$I$6:$I$17,MATCH(D47,Appetite!$A$6:$A$17,0))="Review overdue - approved"),INDEX(Appetite!$D$6:$D$17,MATCH(D47,Appetite!$A$6:$A$17,0)),""),""))</f>
        <v/>
      </c>
      <c r="U47" s="38" t="str">
        <f>IF(A47="","",IF(H47="Invalid inherent ratings","Invalid inherent ratings",IF(O47="","Assessment missing",IF(COUNTIF(Appetite!$A$6:$A$17,D47)=0,"Configuration missing",IF(OR(S47="",T47=""),"Configuration: "&amp;INDEX(Appetite!$I$6:$I$17,MATCH(D47,Appetite!$A$6:$A$17,0)),IF(O47&gt;T47,"Tolerance breach",IF(O47&gt;S47,"Appetite breach","Within appetite")))))))</f>
        <v/>
      </c>
      <c r="V47" s="38" t="str">
        <f>IF(A47="","",IF(COUNTIFS('Risk Acceptance Register'!$B$6:$B$105,A47,'Risk Acceptance Register'!$I$6:$I$105,"Approved")&gt;0,"Yes","No"))</f>
        <v/>
      </c>
      <c r="W47" s="38" t="str">
        <f>IF(V47&lt;&gt;"Yes","",IFERROR(IF(COUNTIFS('Risk Acceptance Register'!$B$6:$B$105,A47,'Risk Acceptance Register'!$T$6:$T$105,"Eligible")&gt;0,LOOKUP(2,1/(('Risk Acceptance Register'!$B$6:$B$105=A47)*('Risk Acceptance Register'!$T$6:$T$105="Eligible")),'Risk Acceptance Register'!$J$6:$J$105),LOOKUP(2,1/(('Risk Acceptance Register'!$B$6:$B$105=A47)*('Risk Acceptance Register'!$I$6:$I$105="Approved")),'Risk Acceptance Register'!$J$6:$J$105))&amp;"",""))</f>
        <v/>
      </c>
      <c r="X47" s="39" t="str">
        <f>IF(V47&lt;&gt;"Yes","",IFERROR(IF(IF(COUNTIFS('Risk Acceptance Register'!$B$6:$B$105,A47,'Risk Acceptance Register'!$T$6:$T$105,"Eligible")&gt;0,LOOKUP(2,1/(('Risk Acceptance Register'!$B$6:$B$105=A47)*('Risk Acceptance Register'!$T$6:$T$105="Eligible")),'Risk Acceptance Register'!$M$6:$M$105),LOOKUP(2,1/(('Risk Acceptance Register'!$B$6:$B$105=A47)*('Risk Acceptance Register'!$I$6:$I$105="Approved")),'Risk Acceptance Register'!$M$6:$M$105))=0,"",IF(COUNTIFS('Risk Acceptance Register'!$B$6:$B$105,A47,'Risk Acceptance Register'!$T$6:$T$105,"Eligible")&gt;0,LOOKUP(2,1/(('Risk Acceptance Register'!$B$6:$B$105=A47)*('Risk Acceptance Register'!$T$6:$T$105="Eligible")),'Risk Acceptance Register'!$M$6:$M$105),LOOKUP(2,1/(('Risk Acceptance Register'!$B$6:$B$105=A47)*('Risk Acceptance Register'!$I$6:$I$105="Approved")),'Risk Acceptance Register'!$M$6:$M$105))),""))</f>
        <v/>
      </c>
      <c r="Y47" s="38" t="str">
        <f>IF(A47="","",IF(U47="Within appetite","Within appetite",IF(AND(U47&lt;&gt;"Appetite breach",U47&lt;&gt;"Tolerance breach"),U47,IF(COUNTIFS('Risk Acceptance Register'!$B$6:$B$105,A47,'Risk Acceptance Register'!$T$6:$T$105,"Eligible")&gt;0,"Breach - formally accepted",IF(V47="Yes",IF(X47="","Accepted - expiry not set",IF(X47&lt;Methodology!$B$4,"Acceptance expired - breach open","Breach - not accepted")),"Breach - not accepted")))))</f>
        <v/>
      </c>
      <c r="Z47" s="40"/>
      <c r="AA47" s="38" t="str">
        <f>IF(OR(A47="",Z47=""),"",IF(Z47&lt;Methodology!$B$4,"Overdue","On schedule"))</f>
        <v/>
      </c>
      <c r="AB47" s="38" t="str">
        <f>IF(OR(U47="",U47="Within appetite"),"",MAX(AB$5:AB46)+1)</f>
        <v/>
      </c>
      <c r="AC47" s="38" t="str">
        <f>IF(A47="","",COUNTIF('Treatment Tracker'!$B$6:$B$105,A47)-COUNTIFS('Treatment Tracker'!$B$6:$B$105,A47,'Treatment Tracker'!$H$6:$H$105,"Completed")-COUNTIFS('Treatment Tracker'!$B$6:$B$105,A47,'Treatment Tracker'!$H$6:$H$105,"Cancelled"))</f>
        <v/>
      </c>
      <c r="AD47" s="38" t="str">
        <f t="shared" si="19"/>
        <v/>
      </c>
      <c r="AE47" s="35"/>
      <c r="AF47" s="35"/>
      <c r="AG47" s="40"/>
      <c r="AH47" s="35"/>
      <c r="AI47" s="38" t="str">
        <f>IF(A47="","",IF(OR(K47="",L47=""),"No assessment",IF(OR(NOT(ISNUMBER(K47)),NOT(ISNUMBER(L47))),"Invalid residual ratings",IF(OR(K47&lt;1,K47&gt;5,L47&lt;1,L47&gt;5,INT(K47)&lt;&gt;K47,INT(L47)&lt;&gt;L47),"Invalid residual ratings",IF(OR(AE47="",AF47="",AG47="",AH47=""),"Incomplete evidence",IF(NOT(ISNUMBER(AG47)),"Invalid assessment date",IF(OR(AG47&gt;Methodology!$B$4,AG47&lt;=0),"Invalid assessment date",IF(AG47+Methodology!$B$3&lt;Methodology!$B$4,"Expired",IF(AL47&lt;&gt;"Approved","Approval not confirmed","Valid")))))))))</f>
        <v/>
      </c>
      <c r="AJ47" s="38" t="str">
        <f>IF(OR(F47="",G47=""),"",MAX(1,ROUND(F47*(1-IFERROR(INDEX(Methodology!$B$41:$B$44,MATCH(J47,Methodology!$A$41:$A$44,0)),0)),0))*G47)</f>
        <v/>
      </c>
      <c r="AK47" s="38" t="str">
        <f t="shared" si="20"/>
        <v/>
      </c>
      <c r="AL47" s="36"/>
    </row>
    <row r="48" spans="1:38" x14ac:dyDescent="0.35">
      <c r="A48" s="35"/>
      <c r="B48" s="24"/>
      <c r="C48" s="24"/>
      <c r="D48" s="35"/>
      <c r="E48" s="35"/>
      <c r="F48" s="36"/>
      <c r="G48" s="36"/>
      <c r="H48" s="37" t="str">
        <f t="shared" si="14"/>
        <v/>
      </c>
      <c r="I48" s="38" t="str">
        <f>IF(NOT(ISNUMBER(H48)),"",INDEX(Methodology!$B$26:$B$29,MATCH(H48,Methodology!$A$26:$A$29,1)))</f>
        <v/>
      </c>
      <c r="J48" s="35"/>
      <c r="K48" s="36"/>
      <c r="L48" s="36"/>
      <c r="M48" s="37" t="str">
        <f t="shared" si="15"/>
        <v/>
      </c>
      <c r="N48" s="37" t="str">
        <f t="shared" si="16"/>
        <v/>
      </c>
      <c r="O48" s="37" t="str">
        <f t="shared" si="17"/>
        <v/>
      </c>
      <c r="P48" s="38" t="str">
        <f>IF(O48="","",INDEX(Methodology!$B$26:$B$29,MATCH(O48,Methodology!$A$26:$A$29,1)))</f>
        <v/>
      </c>
      <c r="Q48" s="36"/>
      <c r="R48" s="37" t="str">
        <f t="shared" si="18"/>
        <v/>
      </c>
      <c r="S48" s="37" t="str">
        <f>IF(D48="","",IFERROR(IF(OR(INDEX(Appetite!$I$6:$I$17,MATCH(D48,Appetite!$A$6:$A$17,0))="OK",INDEX(Appetite!$I$6:$I$17,MATCH(D48,Appetite!$A$6:$A$17,0))="Review overdue - approved"),INDEX(Appetite!$C$6:$C$17,MATCH(D48,Appetite!$A$6:$A$17,0)),""),""))</f>
        <v/>
      </c>
      <c r="T48" s="37" t="str">
        <f>IF(D48="","",IFERROR(IF(OR(INDEX(Appetite!$I$6:$I$17,MATCH(D48,Appetite!$A$6:$A$17,0))="OK",INDEX(Appetite!$I$6:$I$17,MATCH(D48,Appetite!$A$6:$A$17,0))="Review overdue - approved"),INDEX(Appetite!$D$6:$D$17,MATCH(D48,Appetite!$A$6:$A$17,0)),""),""))</f>
        <v/>
      </c>
      <c r="U48" s="38" t="str">
        <f>IF(A48="","",IF(H48="Invalid inherent ratings","Invalid inherent ratings",IF(O48="","Assessment missing",IF(COUNTIF(Appetite!$A$6:$A$17,D48)=0,"Configuration missing",IF(OR(S48="",T48=""),"Configuration: "&amp;INDEX(Appetite!$I$6:$I$17,MATCH(D48,Appetite!$A$6:$A$17,0)),IF(O48&gt;T48,"Tolerance breach",IF(O48&gt;S48,"Appetite breach","Within appetite")))))))</f>
        <v/>
      </c>
      <c r="V48" s="38" t="str">
        <f>IF(A48="","",IF(COUNTIFS('Risk Acceptance Register'!$B$6:$B$105,A48,'Risk Acceptance Register'!$I$6:$I$105,"Approved")&gt;0,"Yes","No"))</f>
        <v/>
      </c>
      <c r="W48" s="38" t="str">
        <f>IF(V48&lt;&gt;"Yes","",IFERROR(IF(COUNTIFS('Risk Acceptance Register'!$B$6:$B$105,A48,'Risk Acceptance Register'!$T$6:$T$105,"Eligible")&gt;0,LOOKUP(2,1/(('Risk Acceptance Register'!$B$6:$B$105=A48)*('Risk Acceptance Register'!$T$6:$T$105="Eligible")),'Risk Acceptance Register'!$J$6:$J$105),LOOKUP(2,1/(('Risk Acceptance Register'!$B$6:$B$105=A48)*('Risk Acceptance Register'!$I$6:$I$105="Approved")),'Risk Acceptance Register'!$J$6:$J$105))&amp;"",""))</f>
        <v/>
      </c>
      <c r="X48" s="39" t="str">
        <f>IF(V48&lt;&gt;"Yes","",IFERROR(IF(IF(COUNTIFS('Risk Acceptance Register'!$B$6:$B$105,A48,'Risk Acceptance Register'!$T$6:$T$105,"Eligible")&gt;0,LOOKUP(2,1/(('Risk Acceptance Register'!$B$6:$B$105=A48)*('Risk Acceptance Register'!$T$6:$T$105="Eligible")),'Risk Acceptance Register'!$M$6:$M$105),LOOKUP(2,1/(('Risk Acceptance Register'!$B$6:$B$105=A48)*('Risk Acceptance Register'!$I$6:$I$105="Approved")),'Risk Acceptance Register'!$M$6:$M$105))=0,"",IF(COUNTIFS('Risk Acceptance Register'!$B$6:$B$105,A48,'Risk Acceptance Register'!$T$6:$T$105,"Eligible")&gt;0,LOOKUP(2,1/(('Risk Acceptance Register'!$B$6:$B$105=A48)*('Risk Acceptance Register'!$T$6:$T$105="Eligible")),'Risk Acceptance Register'!$M$6:$M$105),LOOKUP(2,1/(('Risk Acceptance Register'!$B$6:$B$105=A48)*('Risk Acceptance Register'!$I$6:$I$105="Approved")),'Risk Acceptance Register'!$M$6:$M$105))),""))</f>
        <v/>
      </c>
      <c r="Y48" s="38" t="str">
        <f>IF(A48="","",IF(U48="Within appetite","Within appetite",IF(AND(U48&lt;&gt;"Appetite breach",U48&lt;&gt;"Tolerance breach"),U48,IF(COUNTIFS('Risk Acceptance Register'!$B$6:$B$105,A48,'Risk Acceptance Register'!$T$6:$T$105,"Eligible")&gt;0,"Breach - formally accepted",IF(V48="Yes",IF(X48="","Accepted - expiry not set",IF(X48&lt;Methodology!$B$4,"Acceptance expired - breach open","Breach - not accepted")),"Breach - not accepted")))))</f>
        <v/>
      </c>
      <c r="Z48" s="40"/>
      <c r="AA48" s="38" t="str">
        <f>IF(OR(A48="",Z48=""),"",IF(Z48&lt;Methodology!$B$4,"Overdue","On schedule"))</f>
        <v/>
      </c>
      <c r="AB48" s="38" t="str">
        <f>IF(OR(U48="",U48="Within appetite"),"",MAX(AB$5:AB47)+1)</f>
        <v/>
      </c>
      <c r="AC48" s="38" t="str">
        <f>IF(A48="","",COUNTIF('Treatment Tracker'!$B$6:$B$105,A48)-COUNTIFS('Treatment Tracker'!$B$6:$B$105,A48,'Treatment Tracker'!$H$6:$H$105,"Completed")-COUNTIFS('Treatment Tracker'!$B$6:$B$105,A48,'Treatment Tracker'!$H$6:$H$105,"Cancelled"))</f>
        <v/>
      </c>
      <c r="AD48" s="38" t="str">
        <f t="shared" si="19"/>
        <v/>
      </c>
      <c r="AE48" s="35"/>
      <c r="AF48" s="35"/>
      <c r="AG48" s="40"/>
      <c r="AH48" s="35"/>
      <c r="AI48" s="38" t="str">
        <f>IF(A48="","",IF(OR(K48="",L48=""),"No assessment",IF(OR(NOT(ISNUMBER(K48)),NOT(ISNUMBER(L48))),"Invalid residual ratings",IF(OR(K48&lt;1,K48&gt;5,L48&lt;1,L48&gt;5,INT(K48)&lt;&gt;K48,INT(L48)&lt;&gt;L48),"Invalid residual ratings",IF(OR(AE48="",AF48="",AG48="",AH48=""),"Incomplete evidence",IF(NOT(ISNUMBER(AG48)),"Invalid assessment date",IF(OR(AG48&gt;Methodology!$B$4,AG48&lt;=0),"Invalid assessment date",IF(AG48+Methodology!$B$3&lt;Methodology!$B$4,"Expired",IF(AL48&lt;&gt;"Approved","Approval not confirmed","Valid")))))))))</f>
        <v/>
      </c>
      <c r="AJ48" s="38" t="str">
        <f>IF(OR(F48="",G48=""),"",MAX(1,ROUND(F48*(1-IFERROR(INDEX(Methodology!$B$41:$B$44,MATCH(J48,Methodology!$A$41:$A$44,0)),0)),0))*G48)</f>
        <v/>
      </c>
      <c r="AK48" s="38" t="str">
        <f t="shared" si="20"/>
        <v/>
      </c>
      <c r="AL48" s="36"/>
    </row>
    <row r="49" spans="1:38" x14ac:dyDescent="0.35">
      <c r="A49" s="35"/>
      <c r="B49" s="24"/>
      <c r="C49" s="24"/>
      <c r="D49" s="35"/>
      <c r="E49" s="35"/>
      <c r="F49" s="36"/>
      <c r="G49" s="36"/>
      <c r="H49" s="37" t="str">
        <f t="shared" si="14"/>
        <v/>
      </c>
      <c r="I49" s="38" t="str">
        <f>IF(NOT(ISNUMBER(H49)),"",INDEX(Methodology!$B$26:$B$29,MATCH(H49,Methodology!$A$26:$A$29,1)))</f>
        <v/>
      </c>
      <c r="J49" s="35"/>
      <c r="K49" s="36"/>
      <c r="L49" s="36"/>
      <c r="M49" s="37" t="str">
        <f t="shared" si="15"/>
        <v/>
      </c>
      <c r="N49" s="37" t="str">
        <f t="shared" si="16"/>
        <v/>
      </c>
      <c r="O49" s="37" t="str">
        <f t="shared" si="17"/>
        <v/>
      </c>
      <c r="P49" s="38" t="str">
        <f>IF(O49="","",INDEX(Methodology!$B$26:$B$29,MATCH(O49,Methodology!$A$26:$A$29,1)))</f>
        <v/>
      </c>
      <c r="Q49" s="36"/>
      <c r="R49" s="37" t="str">
        <f t="shared" si="18"/>
        <v/>
      </c>
      <c r="S49" s="37" t="str">
        <f>IF(D49="","",IFERROR(IF(OR(INDEX(Appetite!$I$6:$I$17,MATCH(D49,Appetite!$A$6:$A$17,0))="OK",INDEX(Appetite!$I$6:$I$17,MATCH(D49,Appetite!$A$6:$A$17,0))="Review overdue - approved"),INDEX(Appetite!$C$6:$C$17,MATCH(D49,Appetite!$A$6:$A$17,0)),""),""))</f>
        <v/>
      </c>
      <c r="T49" s="37" t="str">
        <f>IF(D49="","",IFERROR(IF(OR(INDEX(Appetite!$I$6:$I$17,MATCH(D49,Appetite!$A$6:$A$17,0))="OK",INDEX(Appetite!$I$6:$I$17,MATCH(D49,Appetite!$A$6:$A$17,0))="Review overdue - approved"),INDEX(Appetite!$D$6:$D$17,MATCH(D49,Appetite!$A$6:$A$17,0)),""),""))</f>
        <v/>
      </c>
      <c r="U49" s="38" t="str">
        <f>IF(A49="","",IF(H49="Invalid inherent ratings","Invalid inherent ratings",IF(O49="","Assessment missing",IF(COUNTIF(Appetite!$A$6:$A$17,D49)=0,"Configuration missing",IF(OR(S49="",T49=""),"Configuration: "&amp;INDEX(Appetite!$I$6:$I$17,MATCH(D49,Appetite!$A$6:$A$17,0)),IF(O49&gt;T49,"Tolerance breach",IF(O49&gt;S49,"Appetite breach","Within appetite")))))))</f>
        <v/>
      </c>
      <c r="V49" s="38" t="str">
        <f>IF(A49="","",IF(COUNTIFS('Risk Acceptance Register'!$B$6:$B$105,A49,'Risk Acceptance Register'!$I$6:$I$105,"Approved")&gt;0,"Yes","No"))</f>
        <v/>
      </c>
      <c r="W49" s="38" t="str">
        <f>IF(V49&lt;&gt;"Yes","",IFERROR(IF(COUNTIFS('Risk Acceptance Register'!$B$6:$B$105,A49,'Risk Acceptance Register'!$T$6:$T$105,"Eligible")&gt;0,LOOKUP(2,1/(('Risk Acceptance Register'!$B$6:$B$105=A49)*('Risk Acceptance Register'!$T$6:$T$105="Eligible")),'Risk Acceptance Register'!$J$6:$J$105),LOOKUP(2,1/(('Risk Acceptance Register'!$B$6:$B$105=A49)*('Risk Acceptance Register'!$I$6:$I$105="Approved")),'Risk Acceptance Register'!$J$6:$J$105))&amp;"",""))</f>
        <v/>
      </c>
      <c r="X49" s="39" t="str">
        <f>IF(V49&lt;&gt;"Yes","",IFERROR(IF(IF(COUNTIFS('Risk Acceptance Register'!$B$6:$B$105,A49,'Risk Acceptance Register'!$T$6:$T$105,"Eligible")&gt;0,LOOKUP(2,1/(('Risk Acceptance Register'!$B$6:$B$105=A49)*('Risk Acceptance Register'!$T$6:$T$105="Eligible")),'Risk Acceptance Register'!$M$6:$M$105),LOOKUP(2,1/(('Risk Acceptance Register'!$B$6:$B$105=A49)*('Risk Acceptance Register'!$I$6:$I$105="Approved")),'Risk Acceptance Register'!$M$6:$M$105))=0,"",IF(COUNTIFS('Risk Acceptance Register'!$B$6:$B$105,A49,'Risk Acceptance Register'!$T$6:$T$105,"Eligible")&gt;0,LOOKUP(2,1/(('Risk Acceptance Register'!$B$6:$B$105=A49)*('Risk Acceptance Register'!$T$6:$T$105="Eligible")),'Risk Acceptance Register'!$M$6:$M$105),LOOKUP(2,1/(('Risk Acceptance Register'!$B$6:$B$105=A49)*('Risk Acceptance Register'!$I$6:$I$105="Approved")),'Risk Acceptance Register'!$M$6:$M$105))),""))</f>
        <v/>
      </c>
      <c r="Y49" s="38" t="str">
        <f>IF(A49="","",IF(U49="Within appetite","Within appetite",IF(AND(U49&lt;&gt;"Appetite breach",U49&lt;&gt;"Tolerance breach"),U49,IF(COUNTIFS('Risk Acceptance Register'!$B$6:$B$105,A49,'Risk Acceptance Register'!$T$6:$T$105,"Eligible")&gt;0,"Breach - formally accepted",IF(V49="Yes",IF(X49="","Accepted - expiry not set",IF(X49&lt;Methodology!$B$4,"Acceptance expired - breach open","Breach - not accepted")),"Breach - not accepted")))))</f>
        <v/>
      </c>
      <c r="Z49" s="40"/>
      <c r="AA49" s="38" t="str">
        <f>IF(OR(A49="",Z49=""),"",IF(Z49&lt;Methodology!$B$4,"Overdue","On schedule"))</f>
        <v/>
      </c>
      <c r="AB49" s="38" t="str">
        <f>IF(OR(U49="",U49="Within appetite"),"",MAX(AB$5:AB48)+1)</f>
        <v/>
      </c>
      <c r="AC49" s="38" t="str">
        <f>IF(A49="","",COUNTIF('Treatment Tracker'!$B$6:$B$105,A49)-COUNTIFS('Treatment Tracker'!$B$6:$B$105,A49,'Treatment Tracker'!$H$6:$H$105,"Completed")-COUNTIFS('Treatment Tracker'!$B$6:$B$105,A49,'Treatment Tracker'!$H$6:$H$105,"Cancelled"))</f>
        <v/>
      </c>
      <c r="AD49" s="38" t="str">
        <f t="shared" si="19"/>
        <v/>
      </c>
      <c r="AE49" s="35"/>
      <c r="AF49" s="35"/>
      <c r="AG49" s="40"/>
      <c r="AH49" s="35"/>
      <c r="AI49" s="38" t="str">
        <f>IF(A49="","",IF(OR(K49="",L49=""),"No assessment",IF(OR(NOT(ISNUMBER(K49)),NOT(ISNUMBER(L49))),"Invalid residual ratings",IF(OR(K49&lt;1,K49&gt;5,L49&lt;1,L49&gt;5,INT(K49)&lt;&gt;K49,INT(L49)&lt;&gt;L49),"Invalid residual ratings",IF(OR(AE49="",AF49="",AG49="",AH49=""),"Incomplete evidence",IF(NOT(ISNUMBER(AG49)),"Invalid assessment date",IF(OR(AG49&gt;Methodology!$B$4,AG49&lt;=0),"Invalid assessment date",IF(AG49+Methodology!$B$3&lt;Methodology!$B$4,"Expired",IF(AL49&lt;&gt;"Approved","Approval not confirmed","Valid")))))))))</f>
        <v/>
      </c>
      <c r="AJ49" s="38" t="str">
        <f>IF(OR(F49="",G49=""),"",MAX(1,ROUND(F49*(1-IFERROR(INDEX(Methodology!$B$41:$B$44,MATCH(J49,Methodology!$A$41:$A$44,0)),0)),0))*G49)</f>
        <v/>
      </c>
      <c r="AK49" s="38" t="str">
        <f t="shared" si="20"/>
        <v/>
      </c>
      <c r="AL49" s="36"/>
    </row>
    <row r="50" spans="1:38" x14ac:dyDescent="0.35">
      <c r="A50" s="35"/>
      <c r="B50" s="24"/>
      <c r="C50" s="24"/>
      <c r="D50" s="35"/>
      <c r="E50" s="35"/>
      <c r="F50" s="36"/>
      <c r="G50" s="36"/>
      <c r="H50" s="37" t="str">
        <f t="shared" si="14"/>
        <v/>
      </c>
      <c r="I50" s="38" t="str">
        <f>IF(NOT(ISNUMBER(H50)),"",INDEX(Methodology!$B$26:$B$29,MATCH(H50,Methodology!$A$26:$A$29,1)))</f>
        <v/>
      </c>
      <c r="J50" s="35"/>
      <c r="K50" s="36"/>
      <c r="L50" s="36"/>
      <c r="M50" s="37" t="str">
        <f t="shared" si="15"/>
        <v/>
      </c>
      <c r="N50" s="37" t="str">
        <f t="shared" si="16"/>
        <v/>
      </c>
      <c r="O50" s="37" t="str">
        <f t="shared" si="17"/>
        <v/>
      </c>
      <c r="P50" s="38" t="str">
        <f>IF(O50="","",INDEX(Methodology!$B$26:$B$29,MATCH(O50,Methodology!$A$26:$A$29,1)))</f>
        <v/>
      </c>
      <c r="Q50" s="36"/>
      <c r="R50" s="37" t="str">
        <f t="shared" si="18"/>
        <v/>
      </c>
      <c r="S50" s="37" t="str">
        <f>IF(D50="","",IFERROR(IF(OR(INDEX(Appetite!$I$6:$I$17,MATCH(D50,Appetite!$A$6:$A$17,0))="OK",INDEX(Appetite!$I$6:$I$17,MATCH(D50,Appetite!$A$6:$A$17,0))="Review overdue - approved"),INDEX(Appetite!$C$6:$C$17,MATCH(D50,Appetite!$A$6:$A$17,0)),""),""))</f>
        <v/>
      </c>
      <c r="T50" s="37" t="str">
        <f>IF(D50="","",IFERROR(IF(OR(INDEX(Appetite!$I$6:$I$17,MATCH(D50,Appetite!$A$6:$A$17,0))="OK",INDEX(Appetite!$I$6:$I$17,MATCH(D50,Appetite!$A$6:$A$17,0))="Review overdue - approved"),INDEX(Appetite!$D$6:$D$17,MATCH(D50,Appetite!$A$6:$A$17,0)),""),""))</f>
        <v/>
      </c>
      <c r="U50" s="38" t="str">
        <f>IF(A50="","",IF(H50="Invalid inherent ratings","Invalid inherent ratings",IF(O50="","Assessment missing",IF(COUNTIF(Appetite!$A$6:$A$17,D50)=0,"Configuration missing",IF(OR(S50="",T50=""),"Configuration: "&amp;INDEX(Appetite!$I$6:$I$17,MATCH(D50,Appetite!$A$6:$A$17,0)),IF(O50&gt;T50,"Tolerance breach",IF(O50&gt;S50,"Appetite breach","Within appetite")))))))</f>
        <v/>
      </c>
      <c r="V50" s="38" t="str">
        <f>IF(A50="","",IF(COUNTIFS('Risk Acceptance Register'!$B$6:$B$105,A50,'Risk Acceptance Register'!$I$6:$I$105,"Approved")&gt;0,"Yes","No"))</f>
        <v/>
      </c>
      <c r="W50" s="38" t="str">
        <f>IF(V50&lt;&gt;"Yes","",IFERROR(IF(COUNTIFS('Risk Acceptance Register'!$B$6:$B$105,A50,'Risk Acceptance Register'!$T$6:$T$105,"Eligible")&gt;0,LOOKUP(2,1/(('Risk Acceptance Register'!$B$6:$B$105=A50)*('Risk Acceptance Register'!$T$6:$T$105="Eligible")),'Risk Acceptance Register'!$J$6:$J$105),LOOKUP(2,1/(('Risk Acceptance Register'!$B$6:$B$105=A50)*('Risk Acceptance Register'!$I$6:$I$105="Approved")),'Risk Acceptance Register'!$J$6:$J$105))&amp;"",""))</f>
        <v/>
      </c>
      <c r="X50" s="39" t="str">
        <f>IF(V50&lt;&gt;"Yes","",IFERROR(IF(IF(COUNTIFS('Risk Acceptance Register'!$B$6:$B$105,A50,'Risk Acceptance Register'!$T$6:$T$105,"Eligible")&gt;0,LOOKUP(2,1/(('Risk Acceptance Register'!$B$6:$B$105=A50)*('Risk Acceptance Register'!$T$6:$T$105="Eligible")),'Risk Acceptance Register'!$M$6:$M$105),LOOKUP(2,1/(('Risk Acceptance Register'!$B$6:$B$105=A50)*('Risk Acceptance Register'!$I$6:$I$105="Approved")),'Risk Acceptance Register'!$M$6:$M$105))=0,"",IF(COUNTIFS('Risk Acceptance Register'!$B$6:$B$105,A50,'Risk Acceptance Register'!$T$6:$T$105,"Eligible")&gt;0,LOOKUP(2,1/(('Risk Acceptance Register'!$B$6:$B$105=A50)*('Risk Acceptance Register'!$T$6:$T$105="Eligible")),'Risk Acceptance Register'!$M$6:$M$105),LOOKUP(2,1/(('Risk Acceptance Register'!$B$6:$B$105=A50)*('Risk Acceptance Register'!$I$6:$I$105="Approved")),'Risk Acceptance Register'!$M$6:$M$105))),""))</f>
        <v/>
      </c>
      <c r="Y50" s="38" t="str">
        <f>IF(A50="","",IF(U50="Within appetite","Within appetite",IF(AND(U50&lt;&gt;"Appetite breach",U50&lt;&gt;"Tolerance breach"),U50,IF(COUNTIFS('Risk Acceptance Register'!$B$6:$B$105,A50,'Risk Acceptance Register'!$T$6:$T$105,"Eligible")&gt;0,"Breach - formally accepted",IF(V50="Yes",IF(X50="","Accepted - expiry not set",IF(X50&lt;Methodology!$B$4,"Acceptance expired - breach open","Breach - not accepted")),"Breach - not accepted")))))</f>
        <v/>
      </c>
      <c r="Z50" s="40"/>
      <c r="AA50" s="38" t="str">
        <f>IF(OR(A50="",Z50=""),"",IF(Z50&lt;Methodology!$B$4,"Overdue","On schedule"))</f>
        <v/>
      </c>
      <c r="AB50" s="38" t="str">
        <f>IF(OR(U50="",U50="Within appetite"),"",MAX(AB$5:AB49)+1)</f>
        <v/>
      </c>
      <c r="AC50" s="38" t="str">
        <f>IF(A50="","",COUNTIF('Treatment Tracker'!$B$6:$B$105,A50)-COUNTIFS('Treatment Tracker'!$B$6:$B$105,A50,'Treatment Tracker'!$H$6:$H$105,"Completed")-COUNTIFS('Treatment Tracker'!$B$6:$B$105,A50,'Treatment Tracker'!$H$6:$H$105,"Cancelled"))</f>
        <v/>
      </c>
      <c r="AD50" s="38" t="str">
        <f t="shared" si="19"/>
        <v/>
      </c>
      <c r="AE50" s="35"/>
      <c r="AF50" s="35"/>
      <c r="AG50" s="40"/>
      <c r="AH50" s="35"/>
      <c r="AI50" s="38" t="str">
        <f>IF(A50="","",IF(OR(K50="",L50=""),"No assessment",IF(OR(NOT(ISNUMBER(K50)),NOT(ISNUMBER(L50))),"Invalid residual ratings",IF(OR(K50&lt;1,K50&gt;5,L50&lt;1,L50&gt;5,INT(K50)&lt;&gt;K50,INT(L50)&lt;&gt;L50),"Invalid residual ratings",IF(OR(AE50="",AF50="",AG50="",AH50=""),"Incomplete evidence",IF(NOT(ISNUMBER(AG50)),"Invalid assessment date",IF(OR(AG50&gt;Methodology!$B$4,AG50&lt;=0),"Invalid assessment date",IF(AG50+Methodology!$B$3&lt;Methodology!$B$4,"Expired",IF(AL50&lt;&gt;"Approved","Approval not confirmed","Valid")))))))))</f>
        <v/>
      </c>
      <c r="AJ50" s="38" t="str">
        <f>IF(OR(F50="",G50=""),"",MAX(1,ROUND(F50*(1-IFERROR(INDEX(Methodology!$B$41:$B$44,MATCH(J50,Methodology!$A$41:$A$44,0)),0)),0))*G50)</f>
        <v/>
      </c>
      <c r="AK50" s="38" t="str">
        <f t="shared" si="20"/>
        <v/>
      </c>
      <c r="AL50" s="36"/>
    </row>
    <row r="51" spans="1:38" x14ac:dyDescent="0.35">
      <c r="A51" s="35"/>
      <c r="B51" s="24"/>
      <c r="C51" s="24"/>
      <c r="D51" s="35"/>
      <c r="E51" s="35"/>
      <c r="F51" s="36"/>
      <c r="G51" s="36"/>
      <c r="H51" s="37" t="str">
        <f t="shared" si="14"/>
        <v/>
      </c>
      <c r="I51" s="38" t="str">
        <f>IF(NOT(ISNUMBER(H51)),"",INDEX(Methodology!$B$26:$B$29,MATCH(H51,Methodology!$A$26:$A$29,1)))</f>
        <v/>
      </c>
      <c r="J51" s="35"/>
      <c r="K51" s="36"/>
      <c r="L51" s="36"/>
      <c r="M51" s="37" t="str">
        <f t="shared" si="15"/>
        <v/>
      </c>
      <c r="N51" s="37" t="str">
        <f t="shared" si="16"/>
        <v/>
      </c>
      <c r="O51" s="37" t="str">
        <f t="shared" si="17"/>
        <v/>
      </c>
      <c r="P51" s="38" t="str">
        <f>IF(O51="","",INDEX(Methodology!$B$26:$B$29,MATCH(O51,Methodology!$A$26:$A$29,1)))</f>
        <v/>
      </c>
      <c r="Q51" s="36"/>
      <c r="R51" s="37" t="str">
        <f t="shared" si="18"/>
        <v/>
      </c>
      <c r="S51" s="37" t="str">
        <f>IF(D51="","",IFERROR(IF(OR(INDEX(Appetite!$I$6:$I$17,MATCH(D51,Appetite!$A$6:$A$17,0))="OK",INDEX(Appetite!$I$6:$I$17,MATCH(D51,Appetite!$A$6:$A$17,0))="Review overdue - approved"),INDEX(Appetite!$C$6:$C$17,MATCH(D51,Appetite!$A$6:$A$17,0)),""),""))</f>
        <v/>
      </c>
      <c r="T51" s="37" t="str">
        <f>IF(D51="","",IFERROR(IF(OR(INDEX(Appetite!$I$6:$I$17,MATCH(D51,Appetite!$A$6:$A$17,0))="OK",INDEX(Appetite!$I$6:$I$17,MATCH(D51,Appetite!$A$6:$A$17,0))="Review overdue - approved"),INDEX(Appetite!$D$6:$D$17,MATCH(D51,Appetite!$A$6:$A$17,0)),""),""))</f>
        <v/>
      </c>
      <c r="U51" s="38" t="str">
        <f>IF(A51="","",IF(H51="Invalid inherent ratings","Invalid inherent ratings",IF(O51="","Assessment missing",IF(COUNTIF(Appetite!$A$6:$A$17,D51)=0,"Configuration missing",IF(OR(S51="",T51=""),"Configuration: "&amp;INDEX(Appetite!$I$6:$I$17,MATCH(D51,Appetite!$A$6:$A$17,0)),IF(O51&gt;T51,"Tolerance breach",IF(O51&gt;S51,"Appetite breach","Within appetite")))))))</f>
        <v/>
      </c>
      <c r="V51" s="38" t="str">
        <f>IF(A51="","",IF(COUNTIFS('Risk Acceptance Register'!$B$6:$B$105,A51,'Risk Acceptance Register'!$I$6:$I$105,"Approved")&gt;0,"Yes","No"))</f>
        <v/>
      </c>
      <c r="W51" s="38" t="str">
        <f>IF(V51&lt;&gt;"Yes","",IFERROR(IF(COUNTIFS('Risk Acceptance Register'!$B$6:$B$105,A51,'Risk Acceptance Register'!$T$6:$T$105,"Eligible")&gt;0,LOOKUP(2,1/(('Risk Acceptance Register'!$B$6:$B$105=A51)*('Risk Acceptance Register'!$T$6:$T$105="Eligible")),'Risk Acceptance Register'!$J$6:$J$105),LOOKUP(2,1/(('Risk Acceptance Register'!$B$6:$B$105=A51)*('Risk Acceptance Register'!$I$6:$I$105="Approved")),'Risk Acceptance Register'!$J$6:$J$105))&amp;"",""))</f>
        <v/>
      </c>
      <c r="X51" s="39" t="str">
        <f>IF(V51&lt;&gt;"Yes","",IFERROR(IF(IF(COUNTIFS('Risk Acceptance Register'!$B$6:$B$105,A51,'Risk Acceptance Register'!$T$6:$T$105,"Eligible")&gt;0,LOOKUP(2,1/(('Risk Acceptance Register'!$B$6:$B$105=A51)*('Risk Acceptance Register'!$T$6:$T$105="Eligible")),'Risk Acceptance Register'!$M$6:$M$105),LOOKUP(2,1/(('Risk Acceptance Register'!$B$6:$B$105=A51)*('Risk Acceptance Register'!$I$6:$I$105="Approved")),'Risk Acceptance Register'!$M$6:$M$105))=0,"",IF(COUNTIFS('Risk Acceptance Register'!$B$6:$B$105,A51,'Risk Acceptance Register'!$T$6:$T$105,"Eligible")&gt;0,LOOKUP(2,1/(('Risk Acceptance Register'!$B$6:$B$105=A51)*('Risk Acceptance Register'!$T$6:$T$105="Eligible")),'Risk Acceptance Register'!$M$6:$M$105),LOOKUP(2,1/(('Risk Acceptance Register'!$B$6:$B$105=A51)*('Risk Acceptance Register'!$I$6:$I$105="Approved")),'Risk Acceptance Register'!$M$6:$M$105))),""))</f>
        <v/>
      </c>
      <c r="Y51" s="38" t="str">
        <f>IF(A51="","",IF(U51="Within appetite","Within appetite",IF(AND(U51&lt;&gt;"Appetite breach",U51&lt;&gt;"Tolerance breach"),U51,IF(COUNTIFS('Risk Acceptance Register'!$B$6:$B$105,A51,'Risk Acceptance Register'!$T$6:$T$105,"Eligible")&gt;0,"Breach - formally accepted",IF(V51="Yes",IF(X51="","Accepted - expiry not set",IF(X51&lt;Methodology!$B$4,"Acceptance expired - breach open","Breach - not accepted")),"Breach - not accepted")))))</f>
        <v/>
      </c>
      <c r="Z51" s="40"/>
      <c r="AA51" s="38" t="str">
        <f>IF(OR(A51="",Z51=""),"",IF(Z51&lt;Methodology!$B$4,"Overdue","On schedule"))</f>
        <v/>
      </c>
      <c r="AB51" s="38" t="str">
        <f>IF(OR(U51="",U51="Within appetite"),"",MAX(AB$5:AB50)+1)</f>
        <v/>
      </c>
      <c r="AC51" s="38" t="str">
        <f>IF(A51="","",COUNTIF('Treatment Tracker'!$B$6:$B$105,A51)-COUNTIFS('Treatment Tracker'!$B$6:$B$105,A51,'Treatment Tracker'!$H$6:$H$105,"Completed")-COUNTIFS('Treatment Tracker'!$B$6:$B$105,A51,'Treatment Tracker'!$H$6:$H$105,"Cancelled"))</f>
        <v/>
      </c>
      <c r="AD51" s="38" t="str">
        <f t="shared" si="19"/>
        <v/>
      </c>
      <c r="AE51" s="35"/>
      <c r="AF51" s="35"/>
      <c r="AG51" s="40"/>
      <c r="AH51" s="35"/>
      <c r="AI51" s="38" t="str">
        <f>IF(A51="","",IF(OR(K51="",L51=""),"No assessment",IF(OR(NOT(ISNUMBER(K51)),NOT(ISNUMBER(L51))),"Invalid residual ratings",IF(OR(K51&lt;1,K51&gt;5,L51&lt;1,L51&gt;5,INT(K51)&lt;&gt;K51,INT(L51)&lt;&gt;L51),"Invalid residual ratings",IF(OR(AE51="",AF51="",AG51="",AH51=""),"Incomplete evidence",IF(NOT(ISNUMBER(AG51)),"Invalid assessment date",IF(OR(AG51&gt;Methodology!$B$4,AG51&lt;=0),"Invalid assessment date",IF(AG51+Methodology!$B$3&lt;Methodology!$B$4,"Expired",IF(AL51&lt;&gt;"Approved","Approval not confirmed","Valid")))))))))</f>
        <v/>
      </c>
      <c r="AJ51" s="38" t="str">
        <f>IF(OR(F51="",G51=""),"",MAX(1,ROUND(F51*(1-IFERROR(INDEX(Methodology!$B$41:$B$44,MATCH(J51,Methodology!$A$41:$A$44,0)),0)),0))*G51)</f>
        <v/>
      </c>
      <c r="AK51" s="38" t="str">
        <f t="shared" si="20"/>
        <v/>
      </c>
      <c r="AL51" s="36"/>
    </row>
    <row r="52" spans="1:38" x14ac:dyDescent="0.35">
      <c r="A52" s="35"/>
      <c r="B52" s="24"/>
      <c r="C52" s="24"/>
      <c r="D52" s="35"/>
      <c r="E52" s="35"/>
      <c r="F52" s="36"/>
      <c r="G52" s="36"/>
      <c r="H52" s="37" t="str">
        <f t="shared" si="14"/>
        <v/>
      </c>
      <c r="I52" s="38" t="str">
        <f>IF(NOT(ISNUMBER(H52)),"",INDEX(Methodology!$B$26:$B$29,MATCH(H52,Methodology!$A$26:$A$29,1)))</f>
        <v/>
      </c>
      <c r="J52" s="35"/>
      <c r="K52" s="36"/>
      <c r="L52" s="36"/>
      <c r="M52" s="37" t="str">
        <f t="shared" si="15"/>
        <v/>
      </c>
      <c r="N52" s="37" t="str">
        <f t="shared" si="16"/>
        <v/>
      </c>
      <c r="O52" s="37" t="str">
        <f t="shared" si="17"/>
        <v/>
      </c>
      <c r="P52" s="38" t="str">
        <f>IF(O52="","",INDEX(Methodology!$B$26:$B$29,MATCH(O52,Methodology!$A$26:$A$29,1)))</f>
        <v/>
      </c>
      <c r="Q52" s="36"/>
      <c r="R52" s="37" t="str">
        <f t="shared" si="18"/>
        <v/>
      </c>
      <c r="S52" s="37" t="str">
        <f>IF(D52="","",IFERROR(IF(OR(INDEX(Appetite!$I$6:$I$17,MATCH(D52,Appetite!$A$6:$A$17,0))="OK",INDEX(Appetite!$I$6:$I$17,MATCH(D52,Appetite!$A$6:$A$17,0))="Review overdue - approved"),INDEX(Appetite!$C$6:$C$17,MATCH(D52,Appetite!$A$6:$A$17,0)),""),""))</f>
        <v/>
      </c>
      <c r="T52" s="37" t="str">
        <f>IF(D52="","",IFERROR(IF(OR(INDEX(Appetite!$I$6:$I$17,MATCH(D52,Appetite!$A$6:$A$17,0))="OK",INDEX(Appetite!$I$6:$I$17,MATCH(D52,Appetite!$A$6:$A$17,0))="Review overdue - approved"),INDEX(Appetite!$D$6:$D$17,MATCH(D52,Appetite!$A$6:$A$17,0)),""),""))</f>
        <v/>
      </c>
      <c r="U52" s="38" t="str">
        <f>IF(A52="","",IF(H52="Invalid inherent ratings","Invalid inherent ratings",IF(O52="","Assessment missing",IF(COUNTIF(Appetite!$A$6:$A$17,D52)=0,"Configuration missing",IF(OR(S52="",T52=""),"Configuration: "&amp;INDEX(Appetite!$I$6:$I$17,MATCH(D52,Appetite!$A$6:$A$17,0)),IF(O52&gt;T52,"Tolerance breach",IF(O52&gt;S52,"Appetite breach","Within appetite")))))))</f>
        <v/>
      </c>
      <c r="V52" s="38" t="str">
        <f>IF(A52="","",IF(COUNTIFS('Risk Acceptance Register'!$B$6:$B$105,A52,'Risk Acceptance Register'!$I$6:$I$105,"Approved")&gt;0,"Yes","No"))</f>
        <v/>
      </c>
      <c r="W52" s="38" t="str">
        <f>IF(V52&lt;&gt;"Yes","",IFERROR(IF(COUNTIFS('Risk Acceptance Register'!$B$6:$B$105,A52,'Risk Acceptance Register'!$T$6:$T$105,"Eligible")&gt;0,LOOKUP(2,1/(('Risk Acceptance Register'!$B$6:$B$105=A52)*('Risk Acceptance Register'!$T$6:$T$105="Eligible")),'Risk Acceptance Register'!$J$6:$J$105),LOOKUP(2,1/(('Risk Acceptance Register'!$B$6:$B$105=A52)*('Risk Acceptance Register'!$I$6:$I$105="Approved")),'Risk Acceptance Register'!$J$6:$J$105))&amp;"",""))</f>
        <v/>
      </c>
      <c r="X52" s="39" t="str">
        <f>IF(V52&lt;&gt;"Yes","",IFERROR(IF(IF(COUNTIFS('Risk Acceptance Register'!$B$6:$B$105,A52,'Risk Acceptance Register'!$T$6:$T$105,"Eligible")&gt;0,LOOKUP(2,1/(('Risk Acceptance Register'!$B$6:$B$105=A52)*('Risk Acceptance Register'!$T$6:$T$105="Eligible")),'Risk Acceptance Register'!$M$6:$M$105),LOOKUP(2,1/(('Risk Acceptance Register'!$B$6:$B$105=A52)*('Risk Acceptance Register'!$I$6:$I$105="Approved")),'Risk Acceptance Register'!$M$6:$M$105))=0,"",IF(COUNTIFS('Risk Acceptance Register'!$B$6:$B$105,A52,'Risk Acceptance Register'!$T$6:$T$105,"Eligible")&gt;0,LOOKUP(2,1/(('Risk Acceptance Register'!$B$6:$B$105=A52)*('Risk Acceptance Register'!$T$6:$T$105="Eligible")),'Risk Acceptance Register'!$M$6:$M$105),LOOKUP(2,1/(('Risk Acceptance Register'!$B$6:$B$105=A52)*('Risk Acceptance Register'!$I$6:$I$105="Approved")),'Risk Acceptance Register'!$M$6:$M$105))),""))</f>
        <v/>
      </c>
      <c r="Y52" s="38" t="str">
        <f>IF(A52="","",IF(U52="Within appetite","Within appetite",IF(AND(U52&lt;&gt;"Appetite breach",U52&lt;&gt;"Tolerance breach"),U52,IF(COUNTIFS('Risk Acceptance Register'!$B$6:$B$105,A52,'Risk Acceptance Register'!$T$6:$T$105,"Eligible")&gt;0,"Breach - formally accepted",IF(V52="Yes",IF(X52="","Accepted - expiry not set",IF(X52&lt;Methodology!$B$4,"Acceptance expired - breach open","Breach - not accepted")),"Breach - not accepted")))))</f>
        <v/>
      </c>
      <c r="Z52" s="40"/>
      <c r="AA52" s="38" t="str">
        <f>IF(OR(A52="",Z52=""),"",IF(Z52&lt;Methodology!$B$4,"Overdue","On schedule"))</f>
        <v/>
      </c>
      <c r="AB52" s="38" t="str">
        <f>IF(OR(U52="",U52="Within appetite"),"",MAX(AB$5:AB51)+1)</f>
        <v/>
      </c>
      <c r="AC52" s="38" t="str">
        <f>IF(A52="","",COUNTIF('Treatment Tracker'!$B$6:$B$105,A52)-COUNTIFS('Treatment Tracker'!$B$6:$B$105,A52,'Treatment Tracker'!$H$6:$H$105,"Completed")-COUNTIFS('Treatment Tracker'!$B$6:$B$105,A52,'Treatment Tracker'!$H$6:$H$105,"Cancelled"))</f>
        <v/>
      </c>
      <c r="AD52" s="38" t="str">
        <f t="shared" si="19"/>
        <v/>
      </c>
      <c r="AE52" s="35"/>
      <c r="AF52" s="35"/>
      <c r="AG52" s="40"/>
      <c r="AH52" s="35"/>
      <c r="AI52" s="38" t="str">
        <f>IF(A52="","",IF(OR(K52="",L52=""),"No assessment",IF(OR(NOT(ISNUMBER(K52)),NOT(ISNUMBER(L52))),"Invalid residual ratings",IF(OR(K52&lt;1,K52&gt;5,L52&lt;1,L52&gt;5,INT(K52)&lt;&gt;K52,INT(L52)&lt;&gt;L52),"Invalid residual ratings",IF(OR(AE52="",AF52="",AG52="",AH52=""),"Incomplete evidence",IF(NOT(ISNUMBER(AG52)),"Invalid assessment date",IF(OR(AG52&gt;Methodology!$B$4,AG52&lt;=0),"Invalid assessment date",IF(AG52+Methodology!$B$3&lt;Methodology!$B$4,"Expired",IF(AL52&lt;&gt;"Approved","Approval not confirmed","Valid")))))))))</f>
        <v/>
      </c>
      <c r="AJ52" s="38" t="str">
        <f>IF(OR(F52="",G52=""),"",MAX(1,ROUND(F52*(1-IFERROR(INDEX(Methodology!$B$41:$B$44,MATCH(J52,Methodology!$A$41:$A$44,0)),0)),0))*G52)</f>
        <v/>
      </c>
      <c r="AK52" s="38" t="str">
        <f t="shared" si="20"/>
        <v/>
      </c>
      <c r="AL52" s="36"/>
    </row>
    <row r="53" spans="1:38" x14ac:dyDescent="0.35">
      <c r="A53" s="35"/>
      <c r="B53" s="24"/>
      <c r="C53" s="24"/>
      <c r="D53" s="35"/>
      <c r="E53" s="35"/>
      <c r="F53" s="36"/>
      <c r="G53" s="36"/>
      <c r="H53" s="37" t="str">
        <f t="shared" si="14"/>
        <v/>
      </c>
      <c r="I53" s="38" t="str">
        <f>IF(NOT(ISNUMBER(H53)),"",INDEX(Methodology!$B$26:$B$29,MATCH(H53,Methodology!$A$26:$A$29,1)))</f>
        <v/>
      </c>
      <c r="J53" s="35"/>
      <c r="K53" s="36"/>
      <c r="L53" s="36"/>
      <c r="M53" s="37" t="str">
        <f t="shared" si="15"/>
        <v/>
      </c>
      <c r="N53" s="37" t="str">
        <f t="shared" si="16"/>
        <v/>
      </c>
      <c r="O53" s="37" t="str">
        <f t="shared" si="17"/>
        <v/>
      </c>
      <c r="P53" s="38" t="str">
        <f>IF(O53="","",INDEX(Methodology!$B$26:$B$29,MATCH(O53,Methodology!$A$26:$A$29,1)))</f>
        <v/>
      </c>
      <c r="Q53" s="36"/>
      <c r="R53" s="37" t="str">
        <f t="shared" si="18"/>
        <v/>
      </c>
      <c r="S53" s="37" t="str">
        <f>IF(D53="","",IFERROR(IF(OR(INDEX(Appetite!$I$6:$I$17,MATCH(D53,Appetite!$A$6:$A$17,0))="OK",INDEX(Appetite!$I$6:$I$17,MATCH(D53,Appetite!$A$6:$A$17,0))="Review overdue - approved"),INDEX(Appetite!$C$6:$C$17,MATCH(D53,Appetite!$A$6:$A$17,0)),""),""))</f>
        <v/>
      </c>
      <c r="T53" s="37" t="str">
        <f>IF(D53="","",IFERROR(IF(OR(INDEX(Appetite!$I$6:$I$17,MATCH(D53,Appetite!$A$6:$A$17,0))="OK",INDEX(Appetite!$I$6:$I$17,MATCH(D53,Appetite!$A$6:$A$17,0))="Review overdue - approved"),INDEX(Appetite!$D$6:$D$17,MATCH(D53,Appetite!$A$6:$A$17,0)),""),""))</f>
        <v/>
      </c>
      <c r="U53" s="38" t="str">
        <f>IF(A53="","",IF(H53="Invalid inherent ratings","Invalid inherent ratings",IF(O53="","Assessment missing",IF(COUNTIF(Appetite!$A$6:$A$17,D53)=0,"Configuration missing",IF(OR(S53="",T53=""),"Configuration: "&amp;INDEX(Appetite!$I$6:$I$17,MATCH(D53,Appetite!$A$6:$A$17,0)),IF(O53&gt;T53,"Tolerance breach",IF(O53&gt;S53,"Appetite breach","Within appetite")))))))</f>
        <v/>
      </c>
      <c r="V53" s="38" t="str">
        <f>IF(A53="","",IF(COUNTIFS('Risk Acceptance Register'!$B$6:$B$105,A53,'Risk Acceptance Register'!$I$6:$I$105,"Approved")&gt;0,"Yes","No"))</f>
        <v/>
      </c>
      <c r="W53" s="38" t="str">
        <f>IF(V53&lt;&gt;"Yes","",IFERROR(IF(COUNTIFS('Risk Acceptance Register'!$B$6:$B$105,A53,'Risk Acceptance Register'!$T$6:$T$105,"Eligible")&gt;0,LOOKUP(2,1/(('Risk Acceptance Register'!$B$6:$B$105=A53)*('Risk Acceptance Register'!$T$6:$T$105="Eligible")),'Risk Acceptance Register'!$J$6:$J$105),LOOKUP(2,1/(('Risk Acceptance Register'!$B$6:$B$105=A53)*('Risk Acceptance Register'!$I$6:$I$105="Approved")),'Risk Acceptance Register'!$J$6:$J$105))&amp;"",""))</f>
        <v/>
      </c>
      <c r="X53" s="39" t="str">
        <f>IF(V53&lt;&gt;"Yes","",IFERROR(IF(IF(COUNTIFS('Risk Acceptance Register'!$B$6:$B$105,A53,'Risk Acceptance Register'!$T$6:$T$105,"Eligible")&gt;0,LOOKUP(2,1/(('Risk Acceptance Register'!$B$6:$B$105=A53)*('Risk Acceptance Register'!$T$6:$T$105="Eligible")),'Risk Acceptance Register'!$M$6:$M$105),LOOKUP(2,1/(('Risk Acceptance Register'!$B$6:$B$105=A53)*('Risk Acceptance Register'!$I$6:$I$105="Approved")),'Risk Acceptance Register'!$M$6:$M$105))=0,"",IF(COUNTIFS('Risk Acceptance Register'!$B$6:$B$105,A53,'Risk Acceptance Register'!$T$6:$T$105,"Eligible")&gt;0,LOOKUP(2,1/(('Risk Acceptance Register'!$B$6:$B$105=A53)*('Risk Acceptance Register'!$T$6:$T$105="Eligible")),'Risk Acceptance Register'!$M$6:$M$105),LOOKUP(2,1/(('Risk Acceptance Register'!$B$6:$B$105=A53)*('Risk Acceptance Register'!$I$6:$I$105="Approved")),'Risk Acceptance Register'!$M$6:$M$105))),""))</f>
        <v/>
      </c>
      <c r="Y53" s="38" t="str">
        <f>IF(A53="","",IF(U53="Within appetite","Within appetite",IF(AND(U53&lt;&gt;"Appetite breach",U53&lt;&gt;"Tolerance breach"),U53,IF(COUNTIFS('Risk Acceptance Register'!$B$6:$B$105,A53,'Risk Acceptance Register'!$T$6:$T$105,"Eligible")&gt;0,"Breach - formally accepted",IF(V53="Yes",IF(X53="","Accepted - expiry not set",IF(X53&lt;Methodology!$B$4,"Acceptance expired - breach open","Breach - not accepted")),"Breach - not accepted")))))</f>
        <v/>
      </c>
      <c r="Z53" s="40"/>
      <c r="AA53" s="38" t="str">
        <f>IF(OR(A53="",Z53=""),"",IF(Z53&lt;Methodology!$B$4,"Overdue","On schedule"))</f>
        <v/>
      </c>
      <c r="AB53" s="38" t="str">
        <f>IF(OR(U53="",U53="Within appetite"),"",MAX(AB$5:AB52)+1)</f>
        <v/>
      </c>
      <c r="AC53" s="38" t="str">
        <f>IF(A53="","",COUNTIF('Treatment Tracker'!$B$6:$B$105,A53)-COUNTIFS('Treatment Tracker'!$B$6:$B$105,A53,'Treatment Tracker'!$H$6:$H$105,"Completed")-COUNTIFS('Treatment Tracker'!$B$6:$B$105,A53,'Treatment Tracker'!$H$6:$H$105,"Cancelled"))</f>
        <v/>
      </c>
      <c r="AD53" s="38" t="str">
        <f t="shared" si="19"/>
        <v/>
      </c>
      <c r="AE53" s="35"/>
      <c r="AF53" s="35"/>
      <c r="AG53" s="40"/>
      <c r="AH53" s="35"/>
      <c r="AI53" s="38" t="str">
        <f>IF(A53="","",IF(OR(K53="",L53=""),"No assessment",IF(OR(NOT(ISNUMBER(K53)),NOT(ISNUMBER(L53))),"Invalid residual ratings",IF(OR(K53&lt;1,K53&gt;5,L53&lt;1,L53&gt;5,INT(K53)&lt;&gt;K53,INT(L53)&lt;&gt;L53),"Invalid residual ratings",IF(OR(AE53="",AF53="",AG53="",AH53=""),"Incomplete evidence",IF(NOT(ISNUMBER(AG53)),"Invalid assessment date",IF(OR(AG53&gt;Methodology!$B$4,AG53&lt;=0),"Invalid assessment date",IF(AG53+Methodology!$B$3&lt;Methodology!$B$4,"Expired",IF(AL53&lt;&gt;"Approved","Approval not confirmed","Valid")))))))))</f>
        <v/>
      </c>
      <c r="AJ53" s="38" t="str">
        <f>IF(OR(F53="",G53=""),"",MAX(1,ROUND(F53*(1-IFERROR(INDEX(Methodology!$B$41:$B$44,MATCH(J53,Methodology!$A$41:$A$44,0)),0)),0))*G53)</f>
        <v/>
      </c>
      <c r="AK53" s="38" t="str">
        <f t="shared" si="20"/>
        <v/>
      </c>
      <c r="AL53" s="36"/>
    </row>
    <row r="54" spans="1:38" x14ac:dyDescent="0.35">
      <c r="A54" s="35"/>
      <c r="B54" s="24"/>
      <c r="C54" s="24"/>
      <c r="D54" s="35"/>
      <c r="E54" s="35"/>
      <c r="F54" s="36"/>
      <c r="G54" s="36"/>
      <c r="H54" s="37" t="str">
        <f t="shared" si="14"/>
        <v/>
      </c>
      <c r="I54" s="38" t="str">
        <f>IF(NOT(ISNUMBER(H54)),"",INDEX(Methodology!$B$26:$B$29,MATCH(H54,Methodology!$A$26:$A$29,1)))</f>
        <v/>
      </c>
      <c r="J54" s="35"/>
      <c r="K54" s="36"/>
      <c r="L54" s="36"/>
      <c r="M54" s="37" t="str">
        <f t="shared" si="15"/>
        <v/>
      </c>
      <c r="N54" s="37" t="str">
        <f t="shared" si="16"/>
        <v/>
      </c>
      <c r="O54" s="37" t="str">
        <f t="shared" si="17"/>
        <v/>
      </c>
      <c r="P54" s="38" t="str">
        <f>IF(O54="","",INDEX(Methodology!$B$26:$B$29,MATCH(O54,Methodology!$A$26:$A$29,1)))</f>
        <v/>
      </c>
      <c r="Q54" s="36"/>
      <c r="R54" s="37" t="str">
        <f t="shared" si="18"/>
        <v/>
      </c>
      <c r="S54" s="37" t="str">
        <f>IF(D54="","",IFERROR(IF(OR(INDEX(Appetite!$I$6:$I$17,MATCH(D54,Appetite!$A$6:$A$17,0))="OK",INDEX(Appetite!$I$6:$I$17,MATCH(D54,Appetite!$A$6:$A$17,0))="Review overdue - approved"),INDEX(Appetite!$C$6:$C$17,MATCH(D54,Appetite!$A$6:$A$17,0)),""),""))</f>
        <v/>
      </c>
      <c r="T54" s="37" t="str">
        <f>IF(D54="","",IFERROR(IF(OR(INDEX(Appetite!$I$6:$I$17,MATCH(D54,Appetite!$A$6:$A$17,0))="OK",INDEX(Appetite!$I$6:$I$17,MATCH(D54,Appetite!$A$6:$A$17,0))="Review overdue - approved"),INDEX(Appetite!$D$6:$D$17,MATCH(D54,Appetite!$A$6:$A$17,0)),""),""))</f>
        <v/>
      </c>
      <c r="U54" s="38" t="str">
        <f>IF(A54="","",IF(H54="Invalid inherent ratings","Invalid inherent ratings",IF(O54="","Assessment missing",IF(COUNTIF(Appetite!$A$6:$A$17,D54)=0,"Configuration missing",IF(OR(S54="",T54=""),"Configuration: "&amp;INDEX(Appetite!$I$6:$I$17,MATCH(D54,Appetite!$A$6:$A$17,0)),IF(O54&gt;T54,"Tolerance breach",IF(O54&gt;S54,"Appetite breach","Within appetite")))))))</f>
        <v/>
      </c>
      <c r="V54" s="38" t="str">
        <f>IF(A54="","",IF(COUNTIFS('Risk Acceptance Register'!$B$6:$B$105,A54,'Risk Acceptance Register'!$I$6:$I$105,"Approved")&gt;0,"Yes","No"))</f>
        <v/>
      </c>
      <c r="W54" s="38" t="str">
        <f>IF(V54&lt;&gt;"Yes","",IFERROR(IF(COUNTIFS('Risk Acceptance Register'!$B$6:$B$105,A54,'Risk Acceptance Register'!$T$6:$T$105,"Eligible")&gt;0,LOOKUP(2,1/(('Risk Acceptance Register'!$B$6:$B$105=A54)*('Risk Acceptance Register'!$T$6:$T$105="Eligible")),'Risk Acceptance Register'!$J$6:$J$105),LOOKUP(2,1/(('Risk Acceptance Register'!$B$6:$B$105=A54)*('Risk Acceptance Register'!$I$6:$I$105="Approved")),'Risk Acceptance Register'!$J$6:$J$105))&amp;"",""))</f>
        <v/>
      </c>
      <c r="X54" s="39" t="str">
        <f>IF(V54&lt;&gt;"Yes","",IFERROR(IF(IF(COUNTIFS('Risk Acceptance Register'!$B$6:$B$105,A54,'Risk Acceptance Register'!$T$6:$T$105,"Eligible")&gt;0,LOOKUP(2,1/(('Risk Acceptance Register'!$B$6:$B$105=A54)*('Risk Acceptance Register'!$T$6:$T$105="Eligible")),'Risk Acceptance Register'!$M$6:$M$105),LOOKUP(2,1/(('Risk Acceptance Register'!$B$6:$B$105=A54)*('Risk Acceptance Register'!$I$6:$I$105="Approved")),'Risk Acceptance Register'!$M$6:$M$105))=0,"",IF(COUNTIFS('Risk Acceptance Register'!$B$6:$B$105,A54,'Risk Acceptance Register'!$T$6:$T$105,"Eligible")&gt;0,LOOKUP(2,1/(('Risk Acceptance Register'!$B$6:$B$105=A54)*('Risk Acceptance Register'!$T$6:$T$105="Eligible")),'Risk Acceptance Register'!$M$6:$M$105),LOOKUP(2,1/(('Risk Acceptance Register'!$B$6:$B$105=A54)*('Risk Acceptance Register'!$I$6:$I$105="Approved")),'Risk Acceptance Register'!$M$6:$M$105))),""))</f>
        <v/>
      </c>
      <c r="Y54" s="38" t="str">
        <f>IF(A54="","",IF(U54="Within appetite","Within appetite",IF(AND(U54&lt;&gt;"Appetite breach",U54&lt;&gt;"Tolerance breach"),U54,IF(COUNTIFS('Risk Acceptance Register'!$B$6:$B$105,A54,'Risk Acceptance Register'!$T$6:$T$105,"Eligible")&gt;0,"Breach - formally accepted",IF(V54="Yes",IF(X54="","Accepted - expiry not set",IF(X54&lt;Methodology!$B$4,"Acceptance expired - breach open","Breach - not accepted")),"Breach - not accepted")))))</f>
        <v/>
      </c>
      <c r="Z54" s="40"/>
      <c r="AA54" s="38" t="str">
        <f>IF(OR(A54="",Z54=""),"",IF(Z54&lt;Methodology!$B$4,"Overdue","On schedule"))</f>
        <v/>
      </c>
      <c r="AB54" s="38" t="str">
        <f>IF(OR(U54="",U54="Within appetite"),"",MAX(AB$5:AB53)+1)</f>
        <v/>
      </c>
      <c r="AC54" s="38" t="str">
        <f>IF(A54="","",COUNTIF('Treatment Tracker'!$B$6:$B$105,A54)-COUNTIFS('Treatment Tracker'!$B$6:$B$105,A54,'Treatment Tracker'!$H$6:$H$105,"Completed")-COUNTIFS('Treatment Tracker'!$B$6:$B$105,A54,'Treatment Tracker'!$H$6:$H$105,"Cancelled"))</f>
        <v/>
      </c>
      <c r="AD54" s="38" t="str">
        <f t="shared" si="19"/>
        <v/>
      </c>
      <c r="AE54" s="35"/>
      <c r="AF54" s="35"/>
      <c r="AG54" s="40"/>
      <c r="AH54" s="35"/>
      <c r="AI54" s="38" t="str">
        <f>IF(A54="","",IF(OR(K54="",L54=""),"No assessment",IF(OR(NOT(ISNUMBER(K54)),NOT(ISNUMBER(L54))),"Invalid residual ratings",IF(OR(K54&lt;1,K54&gt;5,L54&lt;1,L54&gt;5,INT(K54)&lt;&gt;K54,INT(L54)&lt;&gt;L54),"Invalid residual ratings",IF(OR(AE54="",AF54="",AG54="",AH54=""),"Incomplete evidence",IF(NOT(ISNUMBER(AG54)),"Invalid assessment date",IF(OR(AG54&gt;Methodology!$B$4,AG54&lt;=0),"Invalid assessment date",IF(AG54+Methodology!$B$3&lt;Methodology!$B$4,"Expired",IF(AL54&lt;&gt;"Approved","Approval not confirmed","Valid")))))))))</f>
        <v/>
      </c>
      <c r="AJ54" s="38" t="str">
        <f>IF(OR(F54="",G54=""),"",MAX(1,ROUND(F54*(1-IFERROR(INDEX(Methodology!$B$41:$B$44,MATCH(J54,Methodology!$A$41:$A$44,0)),0)),0))*G54)</f>
        <v/>
      </c>
      <c r="AK54" s="38" t="str">
        <f t="shared" si="20"/>
        <v/>
      </c>
      <c r="AL54" s="36"/>
    </row>
    <row r="55" spans="1:38" x14ac:dyDescent="0.35">
      <c r="A55" s="35"/>
      <c r="B55" s="24"/>
      <c r="C55" s="24"/>
      <c r="D55" s="35"/>
      <c r="E55" s="35"/>
      <c r="F55" s="36"/>
      <c r="G55" s="36"/>
      <c r="H55" s="37" t="str">
        <f t="shared" si="14"/>
        <v/>
      </c>
      <c r="I55" s="38" t="str">
        <f>IF(NOT(ISNUMBER(H55)),"",INDEX(Methodology!$B$26:$B$29,MATCH(H55,Methodology!$A$26:$A$29,1)))</f>
        <v/>
      </c>
      <c r="J55" s="35"/>
      <c r="K55" s="36"/>
      <c r="L55" s="36"/>
      <c r="M55" s="37" t="str">
        <f t="shared" si="15"/>
        <v/>
      </c>
      <c r="N55" s="37" t="str">
        <f t="shared" si="16"/>
        <v/>
      </c>
      <c r="O55" s="37" t="str">
        <f t="shared" si="17"/>
        <v/>
      </c>
      <c r="P55" s="38" t="str">
        <f>IF(O55="","",INDEX(Methodology!$B$26:$B$29,MATCH(O55,Methodology!$A$26:$A$29,1)))</f>
        <v/>
      </c>
      <c r="Q55" s="36"/>
      <c r="R55" s="37" t="str">
        <f t="shared" si="18"/>
        <v/>
      </c>
      <c r="S55" s="37" t="str">
        <f>IF(D55="","",IFERROR(IF(OR(INDEX(Appetite!$I$6:$I$17,MATCH(D55,Appetite!$A$6:$A$17,0))="OK",INDEX(Appetite!$I$6:$I$17,MATCH(D55,Appetite!$A$6:$A$17,0))="Review overdue - approved"),INDEX(Appetite!$C$6:$C$17,MATCH(D55,Appetite!$A$6:$A$17,0)),""),""))</f>
        <v/>
      </c>
      <c r="T55" s="37" t="str">
        <f>IF(D55="","",IFERROR(IF(OR(INDEX(Appetite!$I$6:$I$17,MATCH(D55,Appetite!$A$6:$A$17,0))="OK",INDEX(Appetite!$I$6:$I$17,MATCH(D55,Appetite!$A$6:$A$17,0))="Review overdue - approved"),INDEX(Appetite!$D$6:$D$17,MATCH(D55,Appetite!$A$6:$A$17,0)),""),""))</f>
        <v/>
      </c>
      <c r="U55" s="38" t="str">
        <f>IF(A55="","",IF(H55="Invalid inherent ratings","Invalid inherent ratings",IF(O55="","Assessment missing",IF(COUNTIF(Appetite!$A$6:$A$17,D55)=0,"Configuration missing",IF(OR(S55="",T55=""),"Configuration: "&amp;INDEX(Appetite!$I$6:$I$17,MATCH(D55,Appetite!$A$6:$A$17,0)),IF(O55&gt;T55,"Tolerance breach",IF(O55&gt;S55,"Appetite breach","Within appetite")))))))</f>
        <v/>
      </c>
      <c r="V55" s="38" t="str">
        <f>IF(A55="","",IF(COUNTIFS('Risk Acceptance Register'!$B$6:$B$105,A55,'Risk Acceptance Register'!$I$6:$I$105,"Approved")&gt;0,"Yes","No"))</f>
        <v/>
      </c>
      <c r="W55" s="38" t="str">
        <f>IF(V55&lt;&gt;"Yes","",IFERROR(IF(COUNTIFS('Risk Acceptance Register'!$B$6:$B$105,A55,'Risk Acceptance Register'!$T$6:$T$105,"Eligible")&gt;0,LOOKUP(2,1/(('Risk Acceptance Register'!$B$6:$B$105=A55)*('Risk Acceptance Register'!$T$6:$T$105="Eligible")),'Risk Acceptance Register'!$J$6:$J$105),LOOKUP(2,1/(('Risk Acceptance Register'!$B$6:$B$105=A55)*('Risk Acceptance Register'!$I$6:$I$105="Approved")),'Risk Acceptance Register'!$J$6:$J$105))&amp;"",""))</f>
        <v/>
      </c>
      <c r="X55" s="39" t="str">
        <f>IF(V55&lt;&gt;"Yes","",IFERROR(IF(IF(COUNTIFS('Risk Acceptance Register'!$B$6:$B$105,A55,'Risk Acceptance Register'!$T$6:$T$105,"Eligible")&gt;0,LOOKUP(2,1/(('Risk Acceptance Register'!$B$6:$B$105=A55)*('Risk Acceptance Register'!$T$6:$T$105="Eligible")),'Risk Acceptance Register'!$M$6:$M$105),LOOKUP(2,1/(('Risk Acceptance Register'!$B$6:$B$105=A55)*('Risk Acceptance Register'!$I$6:$I$105="Approved")),'Risk Acceptance Register'!$M$6:$M$105))=0,"",IF(COUNTIFS('Risk Acceptance Register'!$B$6:$B$105,A55,'Risk Acceptance Register'!$T$6:$T$105,"Eligible")&gt;0,LOOKUP(2,1/(('Risk Acceptance Register'!$B$6:$B$105=A55)*('Risk Acceptance Register'!$T$6:$T$105="Eligible")),'Risk Acceptance Register'!$M$6:$M$105),LOOKUP(2,1/(('Risk Acceptance Register'!$B$6:$B$105=A55)*('Risk Acceptance Register'!$I$6:$I$105="Approved")),'Risk Acceptance Register'!$M$6:$M$105))),""))</f>
        <v/>
      </c>
      <c r="Y55" s="38" t="str">
        <f>IF(A55="","",IF(U55="Within appetite","Within appetite",IF(AND(U55&lt;&gt;"Appetite breach",U55&lt;&gt;"Tolerance breach"),U55,IF(COUNTIFS('Risk Acceptance Register'!$B$6:$B$105,A55,'Risk Acceptance Register'!$T$6:$T$105,"Eligible")&gt;0,"Breach - formally accepted",IF(V55="Yes",IF(X55="","Accepted - expiry not set",IF(X55&lt;Methodology!$B$4,"Acceptance expired - breach open","Breach - not accepted")),"Breach - not accepted")))))</f>
        <v/>
      </c>
      <c r="Z55" s="40"/>
      <c r="AA55" s="38" t="str">
        <f>IF(OR(A55="",Z55=""),"",IF(Z55&lt;Methodology!$B$4,"Overdue","On schedule"))</f>
        <v/>
      </c>
      <c r="AB55" s="38" t="str">
        <f>IF(OR(U55="",U55="Within appetite"),"",MAX(AB$5:AB54)+1)</f>
        <v/>
      </c>
      <c r="AC55" s="38" t="str">
        <f>IF(A55="","",COUNTIF('Treatment Tracker'!$B$6:$B$105,A55)-COUNTIFS('Treatment Tracker'!$B$6:$B$105,A55,'Treatment Tracker'!$H$6:$H$105,"Completed")-COUNTIFS('Treatment Tracker'!$B$6:$B$105,A55,'Treatment Tracker'!$H$6:$H$105,"Cancelled"))</f>
        <v/>
      </c>
      <c r="AD55" s="38" t="str">
        <f t="shared" si="19"/>
        <v/>
      </c>
      <c r="AE55" s="35"/>
      <c r="AF55" s="35"/>
      <c r="AG55" s="40"/>
      <c r="AH55" s="35"/>
      <c r="AI55" s="38" t="str">
        <f>IF(A55="","",IF(OR(K55="",L55=""),"No assessment",IF(OR(NOT(ISNUMBER(K55)),NOT(ISNUMBER(L55))),"Invalid residual ratings",IF(OR(K55&lt;1,K55&gt;5,L55&lt;1,L55&gt;5,INT(K55)&lt;&gt;K55,INT(L55)&lt;&gt;L55),"Invalid residual ratings",IF(OR(AE55="",AF55="",AG55="",AH55=""),"Incomplete evidence",IF(NOT(ISNUMBER(AG55)),"Invalid assessment date",IF(OR(AG55&gt;Methodology!$B$4,AG55&lt;=0),"Invalid assessment date",IF(AG55+Methodology!$B$3&lt;Methodology!$B$4,"Expired",IF(AL55&lt;&gt;"Approved","Approval not confirmed","Valid")))))))))</f>
        <v/>
      </c>
      <c r="AJ55" s="38" t="str">
        <f>IF(OR(F55="",G55=""),"",MAX(1,ROUND(F55*(1-IFERROR(INDEX(Methodology!$B$41:$B$44,MATCH(J55,Methodology!$A$41:$A$44,0)),0)),0))*G55)</f>
        <v/>
      </c>
      <c r="AK55" s="38" t="str">
        <f t="shared" si="20"/>
        <v/>
      </c>
      <c r="AL55" s="36"/>
    </row>
    <row r="56" spans="1:38" x14ac:dyDescent="0.35">
      <c r="A56" s="35"/>
      <c r="B56" s="24"/>
      <c r="C56" s="24"/>
      <c r="D56" s="35"/>
      <c r="E56" s="35"/>
      <c r="F56" s="36"/>
      <c r="G56" s="36"/>
      <c r="H56" s="37" t="str">
        <f t="shared" si="14"/>
        <v/>
      </c>
      <c r="I56" s="38" t="str">
        <f>IF(NOT(ISNUMBER(H56)),"",INDEX(Methodology!$B$26:$B$29,MATCH(H56,Methodology!$A$26:$A$29,1)))</f>
        <v/>
      </c>
      <c r="J56" s="35"/>
      <c r="K56" s="36"/>
      <c r="L56" s="36"/>
      <c r="M56" s="37" t="str">
        <f t="shared" si="15"/>
        <v/>
      </c>
      <c r="N56" s="37" t="str">
        <f t="shared" si="16"/>
        <v/>
      </c>
      <c r="O56" s="37" t="str">
        <f t="shared" si="17"/>
        <v/>
      </c>
      <c r="P56" s="38" t="str">
        <f>IF(O56="","",INDEX(Methodology!$B$26:$B$29,MATCH(O56,Methodology!$A$26:$A$29,1)))</f>
        <v/>
      </c>
      <c r="Q56" s="36"/>
      <c r="R56" s="37" t="str">
        <f t="shared" si="18"/>
        <v/>
      </c>
      <c r="S56" s="37" t="str">
        <f>IF(D56="","",IFERROR(IF(OR(INDEX(Appetite!$I$6:$I$17,MATCH(D56,Appetite!$A$6:$A$17,0))="OK",INDEX(Appetite!$I$6:$I$17,MATCH(D56,Appetite!$A$6:$A$17,0))="Review overdue - approved"),INDEX(Appetite!$C$6:$C$17,MATCH(D56,Appetite!$A$6:$A$17,0)),""),""))</f>
        <v/>
      </c>
      <c r="T56" s="37" t="str">
        <f>IF(D56="","",IFERROR(IF(OR(INDEX(Appetite!$I$6:$I$17,MATCH(D56,Appetite!$A$6:$A$17,0))="OK",INDEX(Appetite!$I$6:$I$17,MATCH(D56,Appetite!$A$6:$A$17,0))="Review overdue - approved"),INDEX(Appetite!$D$6:$D$17,MATCH(D56,Appetite!$A$6:$A$17,0)),""),""))</f>
        <v/>
      </c>
      <c r="U56" s="38" t="str">
        <f>IF(A56="","",IF(H56="Invalid inherent ratings","Invalid inherent ratings",IF(O56="","Assessment missing",IF(COUNTIF(Appetite!$A$6:$A$17,D56)=0,"Configuration missing",IF(OR(S56="",T56=""),"Configuration: "&amp;INDEX(Appetite!$I$6:$I$17,MATCH(D56,Appetite!$A$6:$A$17,0)),IF(O56&gt;T56,"Tolerance breach",IF(O56&gt;S56,"Appetite breach","Within appetite")))))))</f>
        <v/>
      </c>
      <c r="V56" s="38" t="str">
        <f>IF(A56="","",IF(COUNTIFS('Risk Acceptance Register'!$B$6:$B$105,A56,'Risk Acceptance Register'!$I$6:$I$105,"Approved")&gt;0,"Yes","No"))</f>
        <v/>
      </c>
      <c r="W56" s="38" t="str">
        <f>IF(V56&lt;&gt;"Yes","",IFERROR(IF(COUNTIFS('Risk Acceptance Register'!$B$6:$B$105,A56,'Risk Acceptance Register'!$T$6:$T$105,"Eligible")&gt;0,LOOKUP(2,1/(('Risk Acceptance Register'!$B$6:$B$105=A56)*('Risk Acceptance Register'!$T$6:$T$105="Eligible")),'Risk Acceptance Register'!$J$6:$J$105),LOOKUP(2,1/(('Risk Acceptance Register'!$B$6:$B$105=A56)*('Risk Acceptance Register'!$I$6:$I$105="Approved")),'Risk Acceptance Register'!$J$6:$J$105))&amp;"",""))</f>
        <v/>
      </c>
      <c r="X56" s="39" t="str">
        <f>IF(V56&lt;&gt;"Yes","",IFERROR(IF(IF(COUNTIFS('Risk Acceptance Register'!$B$6:$B$105,A56,'Risk Acceptance Register'!$T$6:$T$105,"Eligible")&gt;0,LOOKUP(2,1/(('Risk Acceptance Register'!$B$6:$B$105=A56)*('Risk Acceptance Register'!$T$6:$T$105="Eligible")),'Risk Acceptance Register'!$M$6:$M$105),LOOKUP(2,1/(('Risk Acceptance Register'!$B$6:$B$105=A56)*('Risk Acceptance Register'!$I$6:$I$105="Approved")),'Risk Acceptance Register'!$M$6:$M$105))=0,"",IF(COUNTIFS('Risk Acceptance Register'!$B$6:$B$105,A56,'Risk Acceptance Register'!$T$6:$T$105,"Eligible")&gt;0,LOOKUP(2,1/(('Risk Acceptance Register'!$B$6:$B$105=A56)*('Risk Acceptance Register'!$T$6:$T$105="Eligible")),'Risk Acceptance Register'!$M$6:$M$105),LOOKUP(2,1/(('Risk Acceptance Register'!$B$6:$B$105=A56)*('Risk Acceptance Register'!$I$6:$I$105="Approved")),'Risk Acceptance Register'!$M$6:$M$105))),""))</f>
        <v/>
      </c>
      <c r="Y56" s="38" t="str">
        <f>IF(A56="","",IF(U56="Within appetite","Within appetite",IF(AND(U56&lt;&gt;"Appetite breach",U56&lt;&gt;"Tolerance breach"),U56,IF(COUNTIFS('Risk Acceptance Register'!$B$6:$B$105,A56,'Risk Acceptance Register'!$T$6:$T$105,"Eligible")&gt;0,"Breach - formally accepted",IF(V56="Yes",IF(X56="","Accepted - expiry not set",IF(X56&lt;Methodology!$B$4,"Acceptance expired - breach open","Breach - not accepted")),"Breach - not accepted")))))</f>
        <v/>
      </c>
      <c r="Z56" s="40"/>
      <c r="AA56" s="38" t="str">
        <f>IF(OR(A56="",Z56=""),"",IF(Z56&lt;Methodology!$B$4,"Overdue","On schedule"))</f>
        <v/>
      </c>
      <c r="AB56" s="38" t="str">
        <f>IF(OR(U56="",U56="Within appetite"),"",MAX(AB$5:AB55)+1)</f>
        <v/>
      </c>
      <c r="AC56" s="38" t="str">
        <f>IF(A56="","",COUNTIF('Treatment Tracker'!$B$6:$B$105,A56)-COUNTIFS('Treatment Tracker'!$B$6:$B$105,A56,'Treatment Tracker'!$H$6:$H$105,"Completed")-COUNTIFS('Treatment Tracker'!$B$6:$B$105,A56,'Treatment Tracker'!$H$6:$H$105,"Cancelled"))</f>
        <v/>
      </c>
      <c r="AD56" s="38" t="str">
        <f t="shared" si="19"/>
        <v/>
      </c>
      <c r="AE56" s="35"/>
      <c r="AF56" s="35"/>
      <c r="AG56" s="40"/>
      <c r="AH56" s="35"/>
      <c r="AI56" s="38" t="str">
        <f>IF(A56="","",IF(OR(K56="",L56=""),"No assessment",IF(OR(NOT(ISNUMBER(K56)),NOT(ISNUMBER(L56))),"Invalid residual ratings",IF(OR(K56&lt;1,K56&gt;5,L56&lt;1,L56&gt;5,INT(K56)&lt;&gt;K56,INT(L56)&lt;&gt;L56),"Invalid residual ratings",IF(OR(AE56="",AF56="",AG56="",AH56=""),"Incomplete evidence",IF(NOT(ISNUMBER(AG56)),"Invalid assessment date",IF(OR(AG56&gt;Methodology!$B$4,AG56&lt;=0),"Invalid assessment date",IF(AG56+Methodology!$B$3&lt;Methodology!$B$4,"Expired",IF(AL56&lt;&gt;"Approved","Approval not confirmed","Valid")))))))))</f>
        <v/>
      </c>
      <c r="AJ56" s="38" t="str">
        <f>IF(OR(F56="",G56=""),"",MAX(1,ROUND(F56*(1-IFERROR(INDEX(Methodology!$B$41:$B$44,MATCH(J56,Methodology!$A$41:$A$44,0)),0)),0))*G56)</f>
        <v/>
      </c>
      <c r="AK56" s="38" t="str">
        <f t="shared" si="20"/>
        <v/>
      </c>
      <c r="AL56" s="36"/>
    </row>
    <row r="57" spans="1:38" x14ac:dyDescent="0.35">
      <c r="A57" s="35"/>
      <c r="B57" s="24"/>
      <c r="C57" s="24"/>
      <c r="D57" s="35"/>
      <c r="E57" s="35"/>
      <c r="F57" s="36"/>
      <c r="G57" s="36"/>
      <c r="H57" s="37" t="str">
        <f t="shared" si="14"/>
        <v/>
      </c>
      <c r="I57" s="38" t="str">
        <f>IF(NOT(ISNUMBER(H57)),"",INDEX(Methodology!$B$26:$B$29,MATCH(H57,Methodology!$A$26:$A$29,1)))</f>
        <v/>
      </c>
      <c r="J57" s="35"/>
      <c r="K57" s="36"/>
      <c r="L57" s="36"/>
      <c r="M57" s="37" t="str">
        <f t="shared" si="15"/>
        <v/>
      </c>
      <c r="N57" s="37" t="str">
        <f t="shared" si="16"/>
        <v/>
      </c>
      <c r="O57" s="37" t="str">
        <f t="shared" si="17"/>
        <v/>
      </c>
      <c r="P57" s="38" t="str">
        <f>IF(O57="","",INDEX(Methodology!$B$26:$B$29,MATCH(O57,Methodology!$A$26:$A$29,1)))</f>
        <v/>
      </c>
      <c r="Q57" s="36"/>
      <c r="R57" s="37" t="str">
        <f t="shared" si="18"/>
        <v/>
      </c>
      <c r="S57" s="37" t="str">
        <f>IF(D57="","",IFERROR(IF(OR(INDEX(Appetite!$I$6:$I$17,MATCH(D57,Appetite!$A$6:$A$17,0))="OK",INDEX(Appetite!$I$6:$I$17,MATCH(D57,Appetite!$A$6:$A$17,0))="Review overdue - approved"),INDEX(Appetite!$C$6:$C$17,MATCH(D57,Appetite!$A$6:$A$17,0)),""),""))</f>
        <v/>
      </c>
      <c r="T57" s="37" t="str">
        <f>IF(D57="","",IFERROR(IF(OR(INDEX(Appetite!$I$6:$I$17,MATCH(D57,Appetite!$A$6:$A$17,0))="OK",INDEX(Appetite!$I$6:$I$17,MATCH(D57,Appetite!$A$6:$A$17,0))="Review overdue - approved"),INDEX(Appetite!$D$6:$D$17,MATCH(D57,Appetite!$A$6:$A$17,0)),""),""))</f>
        <v/>
      </c>
      <c r="U57" s="38" t="str">
        <f>IF(A57="","",IF(H57="Invalid inherent ratings","Invalid inherent ratings",IF(O57="","Assessment missing",IF(COUNTIF(Appetite!$A$6:$A$17,D57)=0,"Configuration missing",IF(OR(S57="",T57=""),"Configuration: "&amp;INDEX(Appetite!$I$6:$I$17,MATCH(D57,Appetite!$A$6:$A$17,0)),IF(O57&gt;T57,"Tolerance breach",IF(O57&gt;S57,"Appetite breach","Within appetite")))))))</f>
        <v/>
      </c>
      <c r="V57" s="38" t="str">
        <f>IF(A57="","",IF(COUNTIFS('Risk Acceptance Register'!$B$6:$B$105,A57,'Risk Acceptance Register'!$I$6:$I$105,"Approved")&gt;0,"Yes","No"))</f>
        <v/>
      </c>
      <c r="W57" s="38" t="str">
        <f>IF(V57&lt;&gt;"Yes","",IFERROR(IF(COUNTIFS('Risk Acceptance Register'!$B$6:$B$105,A57,'Risk Acceptance Register'!$T$6:$T$105,"Eligible")&gt;0,LOOKUP(2,1/(('Risk Acceptance Register'!$B$6:$B$105=A57)*('Risk Acceptance Register'!$T$6:$T$105="Eligible")),'Risk Acceptance Register'!$J$6:$J$105),LOOKUP(2,1/(('Risk Acceptance Register'!$B$6:$B$105=A57)*('Risk Acceptance Register'!$I$6:$I$105="Approved")),'Risk Acceptance Register'!$J$6:$J$105))&amp;"",""))</f>
        <v/>
      </c>
      <c r="X57" s="39" t="str">
        <f>IF(V57&lt;&gt;"Yes","",IFERROR(IF(IF(COUNTIFS('Risk Acceptance Register'!$B$6:$B$105,A57,'Risk Acceptance Register'!$T$6:$T$105,"Eligible")&gt;0,LOOKUP(2,1/(('Risk Acceptance Register'!$B$6:$B$105=A57)*('Risk Acceptance Register'!$T$6:$T$105="Eligible")),'Risk Acceptance Register'!$M$6:$M$105),LOOKUP(2,1/(('Risk Acceptance Register'!$B$6:$B$105=A57)*('Risk Acceptance Register'!$I$6:$I$105="Approved")),'Risk Acceptance Register'!$M$6:$M$105))=0,"",IF(COUNTIFS('Risk Acceptance Register'!$B$6:$B$105,A57,'Risk Acceptance Register'!$T$6:$T$105,"Eligible")&gt;0,LOOKUP(2,1/(('Risk Acceptance Register'!$B$6:$B$105=A57)*('Risk Acceptance Register'!$T$6:$T$105="Eligible")),'Risk Acceptance Register'!$M$6:$M$105),LOOKUP(2,1/(('Risk Acceptance Register'!$B$6:$B$105=A57)*('Risk Acceptance Register'!$I$6:$I$105="Approved")),'Risk Acceptance Register'!$M$6:$M$105))),""))</f>
        <v/>
      </c>
      <c r="Y57" s="38" t="str">
        <f>IF(A57="","",IF(U57="Within appetite","Within appetite",IF(AND(U57&lt;&gt;"Appetite breach",U57&lt;&gt;"Tolerance breach"),U57,IF(COUNTIFS('Risk Acceptance Register'!$B$6:$B$105,A57,'Risk Acceptance Register'!$T$6:$T$105,"Eligible")&gt;0,"Breach - formally accepted",IF(V57="Yes",IF(X57="","Accepted - expiry not set",IF(X57&lt;Methodology!$B$4,"Acceptance expired - breach open","Breach - not accepted")),"Breach - not accepted")))))</f>
        <v/>
      </c>
      <c r="Z57" s="40"/>
      <c r="AA57" s="38" t="str">
        <f>IF(OR(A57="",Z57=""),"",IF(Z57&lt;Methodology!$B$4,"Overdue","On schedule"))</f>
        <v/>
      </c>
      <c r="AB57" s="38" t="str">
        <f>IF(OR(U57="",U57="Within appetite"),"",MAX(AB$5:AB56)+1)</f>
        <v/>
      </c>
      <c r="AC57" s="38" t="str">
        <f>IF(A57="","",COUNTIF('Treatment Tracker'!$B$6:$B$105,A57)-COUNTIFS('Treatment Tracker'!$B$6:$B$105,A57,'Treatment Tracker'!$H$6:$H$105,"Completed")-COUNTIFS('Treatment Tracker'!$B$6:$B$105,A57,'Treatment Tracker'!$H$6:$H$105,"Cancelled"))</f>
        <v/>
      </c>
      <c r="AD57" s="38" t="str">
        <f t="shared" si="19"/>
        <v/>
      </c>
      <c r="AE57" s="35"/>
      <c r="AF57" s="35"/>
      <c r="AG57" s="40"/>
      <c r="AH57" s="35"/>
      <c r="AI57" s="38" t="str">
        <f>IF(A57="","",IF(OR(K57="",L57=""),"No assessment",IF(OR(NOT(ISNUMBER(K57)),NOT(ISNUMBER(L57))),"Invalid residual ratings",IF(OR(K57&lt;1,K57&gt;5,L57&lt;1,L57&gt;5,INT(K57)&lt;&gt;K57,INT(L57)&lt;&gt;L57),"Invalid residual ratings",IF(OR(AE57="",AF57="",AG57="",AH57=""),"Incomplete evidence",IF(NOT(ISNUMBER(AG57)),"Invalid assessment date",IF(OR(AG57&gt;Methodology!$B$4,AG57&lt;=0),"Invalid assessment date",IF(AG57+Methodology!$B$3&lt;Methodology!$B$4,"Expired",IF(AL57&lt;&gt;"Approved","Approval not confirmed","Valid")))))))))</f>
        <v/>
      </c>
      <c r="AJ57" s="38" t="str">
        <f>IF(OR(F57="",G57=""),"",MAX(1,ROUND(F57*(1-IFERROR(INDEX(Methodology!$B$41:$B$44,MATCH(J57,Methodology!$A$41:$A$44,0)),0)),0))*G57)</f>
        <v/>
      </c>
      <c r="AK57" s="38" t="str">
        <f t="shared" si="20"/>
        <v/>
      </c>
      <c r="AL57" s="36"/>
    </row>
    <row r="58" spans="1:38" x14ac:dyDescent="0.35">
      <c r="A58" s="35"/>
      <c r="B58" s="24"/>
      <c r="C58" s="24"/>
      <c r="D58" s="35"/>
      <c r="E58" s="35"/>
      <c r="F58" s="36"/>
      <c r="G58" s="36"/>
      <c r="H58" s="37" t="str">
        <f t="shared" si="14"/>
        <v/>
      </c>
      <c r="I58" s="38" t="str">
        <f>IF(NOT(ISNUMBER(H58)),"",INDEX(Methodology!$B$26:$B$29,MATCH(H58,Methodology!$A$26:$A$29,1)))</f>
        <v/>
      </c>
      <c r="J58" s="35"/>
      <c r="K58" s="36"/>
      <c r="L58" s="36"/>
      <c r="M58" s="37" t="str">
        <f t="shared" si="15"/>
        <v/>
      </c>
      <c r="N58" s="37" t="str">
        <f t="shared" si="16"/>
        <v/>
      </c>
      <c r="O58" s="37" t="str">
        <f t="shared" si="17"/>
        <v/>
      </c>
      <c r="P58" s="38" t="str">
        <f>IF(O58="","",INDEX(Methodology!$B$26:$B$29,MATCH(O58,Methodology!$A$26:$A$29,1)))</f>
        <v/>
      </c>
      <c r="Q58" s="36"/>
      <c r="R58" s="37" t="str">
        <f t="shared" si="18"/>
        <v/>
      </c>
      <c r="S58" s="37" t="str">
        <f>IF(D58="","",IFERROR(IF(OR(INDEX(Appetite!$I$6:$I$17,MATCH(D58,Appetite!$A$6:$A$17,0))="OK",INDEX(Appetite!$I$6:$I$17,MATCH(D58,Appetite!$A$6:$A$17,0))="Review overdue - approved"),INDEX(Appetite!$C$6:$C$17,MATCH(D58,Appetite!$A$6:$A$17,0)),""),""))</f>
        <v/>
      </c>
      <c r="T58" s="37" t="str">
        <f>IF(D58="","",IFERROR(IF(OR(INDEX(Appetite!$I$6:$I$17,MATCH(D58,Appetite!$A$6:$A$17,0))="OK",INDEX(Appetite!$I$6:$I$17,MATCH(D58,Appetite!$A$6:$A$17,0))="Review overdue - approved"),INDEX(Appetite!$D$6:$D$17,MATCH(D58,Appetite!$A$6:$A$17,0)),""),""))</f>
        <v/>
      </c>
      <c r="U58" s="38" t="str">
        <f>IF(A58="","",IF(H58="Invalid inherent ratings","Invalid inherent ratings",IF(O58="","Assessment missing",IF(COUNTIF(Appetite!$A$6:$A$17,D58)=0,"Configuration missing",IF(OR(S58="",T58=""),"Configuration: "&amp;INDEX(Appetite!$I$6:$I$17,MATCH(D58,Appetite!$A$6:$A$17,0)),IF(O58&gt;T58,"Tolerance breach",IF(O58&gt;S58,"Appetite breach","Within appetite")))))))</f>
        <v/>
      </c>
      <c r="V58" s="38" t="str">
        <f>IF(A58="","",IF(COUNTIFS('Risk Acceptance Register'!$B$6:$B$105,A58,'Risk Acceptance Register'!$I$6:$I$105,"Approved")&gt;0,"Yes","No"))</f>
        <v/>
      </c>
      <c r="W58" s="38" t="str">
        <f>IF(V58&lt;&gt;"Yes","",IFERROR(IF(COUNTIFS('Risk Acceptance Register'!$B$6:$B$105,A58,'Risk Acceptance Register'!$T$6:$T$105,"Eligible")&gt;0,LOOKUP(2,1/(('Risk Acceptance Register'!$B$6:$B$105=A58)*('Risk Acceptance Register'!$T$6:$T$105="Eligible")),'Risk Acceptance Register'!$J$6:$J$105),LOOKUP(2,1/(('Risk Acceptance Register'!$B$6:$B$105=A58)*('Risk Acceptance Register'!$I$6:$I$105="Approved")),'Risk Acceptance Register'!$J$6:$J$105))&amp;"",""))</f>
        <v/>
      </c>
      <c r="X58" s="39" t="str">
        <f>IF(V58&lt;&gt;"Yes","",IFERROR(IF(IF(COUNTIFS('Risk Acceptance Register'!$B$6:$B$105,A58,'Risk Acceptance Register'!$T$6:$T$105,"Eligible")&gt;0,LOOKUP(2,1/(('Risk Acceptance Register'!$B$6:$B$105=A58)*('Risk Acceptance Register'!$T$6:$T$105="Eligible")),'Risk Acceptance Register'!$M$6:$M$105),LOOKUP(2,1/(('Risk Acceptance Register'!$B$6:$B$105=A58)*('Risk Acceptance Register'!$I$6:$I$105="Approved")),'Risk Acceptance Register'!$M$6:$M$105))=0,"",IF(COUNTIFS('Risk Acceptance Register'!$B$6:$B$105,A58,'Risk Acceptance Register'!$T$6:$T$105,"Eligible")&gt;0,LOOKUP(2,1/(('Risk Acceptance Register'!$B$6:$B$105=A58)*('Risk Acceptance Register'!$T$6:$T$105="Eligible")),'Risk Acceptance Register'!$M$6:$M$105),LOOKUP(2,1/(('Risk Acceptance Register'!$B$6:$B$105=A58)*('Risk Acceptance Register'!$I$6:$I$105="Approved")),'Risk Acceptance Register'!$M$6:$M$105))),""))</f>
        <v/>
      </c>
      <c r="Y58" s="38" t="str">
        <f>IF(A58="","",IF(U58="Within appetite","Within appetite",IF(AND(U58&lt;&gt;"Appetite breach",U58&lt;&gt;"Tolerance breach"),U58,IF(COUNTIFS('Risk Acceptance Register'!$B$6:$B$105,A58,'Risk Acceptance Register'!$T$6:$T$105,"Eligible")&gt;0,"Breach - formally accepted",IF(V58="Yes",IF(X58="","Accepted - expiry not set",IF(X58&lt;Methodology!$B$4,"Acceptance expired - breach open","Breach - not accepted")),"Breach - not accepted")))))</f>
        <v/>
      </c>
      <c r="Z58" s="40"/>
      <c r="AA58" s="38" t="str">
        <f>IF(OR(A58="",Z58=""),"",IF(Z58&lt;Methodology!$B$4,"Overdue","On schedule"))</f>
        <v/>
      </c>
      <c r="AB58" s="38" t="str">
        <f>IF(OR(U58="",U58="Within appetite"),"",MAX(AB$5:AB57)+1)</f>
        <v/>
      </c>
      <c r="AC58" s="38" t="str">
        <f>IF(A58="","",COUNTIF('Treatment Tracker'!$B$6:$B$105,A58)-COUNTIFS('Treatment Tracker'!$B$6:$B$105,A58,'Treatment Tracker'!$H$6:$H$105,"Completed")-COUNTIFS('Treatment Tracker'!$B$6:$B$105,A58,'Treatment Tracker'!$H$6:$H$105,"Cancelled"))</f>
        <v/>
      </c>
      <c r="AD58" s="38" t="str">
        <f t="shared" si="19"/>
        <v/>
      </c>
      <c r="AE58" s="35"/>
      <c r="AF58" s="35"/>
      <c r="AG58" s="40"/>
      <c r="AH58" s="35"/>
      <c r="AI58" s="38" t="str">
        <f>IF(A58="","",IF(OR(K58="",L58=""),"No assessment",IF(OR(NOT(ISNUMBER(K58)),NOT(ISNUMBER(L58))),"Invalid residual ratings",IF(OR(K58&lt;1,K58&gt;5,L58&lt;1,L58&gt;5,INT(K58)&lt;&gt;K58,INT(L58)&lt;&gt;L58),"Invalid residual ratings",IF(OR(AE58="",AF58="",AG58="",AH58=""),"Incomplete evidence",IF(NOT(ISNUMBER(AG58)),"Invalid assessment date",IF(OR(AG58&gt;Methodology!$B$4,AG58&lt;=0),"Invalid assessment date",IF(AG58+Methodology!$B$3&lt;Methodology!$B$4,"Expired",IF(AL58&lt;&gt;"Approved","Approval not confirmed","Valid")))))))))</f>
        <v/>
      </c>
      <c r="AJ58" s="38" t="str">
        <f>IF(OR(F58="",G58=""),"",MAX(1,ROUND(F58*(1-IFERROR(INDEX(Methodology!$B$41:$B$44,MATCH(J58,Methodology!$A$41:$A$44,0)),0)),0))*G58)</f>
        <v/>
      </c>
      <c r="AK58" s="38" t="str">
        <f t="shared" si="20"/>
        <v/>
      </c>
      <c r="AL58" s="36"/>
    </row>
    <row r="59" spans="1:38" x14ac:dyDescent="0.35">
      <c r="A59" s="35"/>
      <c r="B59" s="24"/>
      <c r="C59" s="24"/>
      <c r="D59" s="35"/>
      <c r="E59" s="35"/>
      <c r="F59" s="36"/>
      <c r="G59" s="36"/>
      <c r="H59" s="37" t="str">
        <f t="shared" si="14"/>
        <v/>
      </c>
      <c r="I59" s="38" t="str">
        <f>IF(NOT(ISNUMBER(H59)),"",INDEX(Methodology!$B$26:$B$29,MATCH(H59,Methodology!$A$26:$A$29,1)))</f>
        <v/>
      </c>
      <c r="J59" s="35"/>
      <c r="K59" s="36"/>
      <c r="L59" s="36"/>
      <c r="M59" s="37" t="str">
        <f t="shared" si="15"/>
        <v/>
      </c>
      <c r="N59" s="37" t="str">
        <f t="shared" si="16"/>
        <v/>
      </c>
      <c r="O59" s="37" t="str">
        <f t="shared" si="17"/>
        <v/>
      </c>
      <c r="P59" s="38" t="str">
        <f>IF(O59="","",INDEX(Methodology!$B$26:$B$29,MATCH(O59,Methodology!$A$26:$A$29,1)))</f>
        <v/>
      </c>
      <c r="Q59" s="36"/>
      <c r="R59" s="37" t="str">
        <f t="shared" si="18"/>
        <v/>
      </c>
      <c r="S59" s="37" t="str">
        <f>IF(D59="","",IFERROR(IF(OR(INDEX(Appetite!$I$6:$I$17,MATCH(D59,Appetite!$A$6:$A$17,0))="OK",INDEX(Appetite!$I$6:$I$17,MATCH(D59,Appetite!$A$6:$A$17,0))="Review overdue - approved"),INDEX(Appetite!$C$6:$C$17,MATCH(D59,Appetite!$A$6:$A$17,0)),""),""))</f>
        <v/>
      </c>
      <c r="T59" s="37" t="str">
        <f>IF(D59="","",IFERROR(IF(OR(INDEX(Appetite!$I$6:$I$17,MATCH(D59,Appetite!$A$6:$A$17,0))="OK",INDEX(Appetite!$I$6:$I$17,MATCH(D59,Appetite!$A$6:$A$17,0))="Review overdue - approved"),INDEX(Appetite!$D$6:$D$17,MATCH(D59,Appetite!$A$6:$A$17,0)),""),""))</f>
        <v/>
      </c>
      <c r="U59" s="38" t="str">
        <f>IF(A59="","",IF(H59="Invalid inherent ratings","Invalid inherent ratings",IF(O59="","Assessment missing",IF(COUNTIF(Appetite!$A$6:$A$17,D59)=0,"Configuration missing",IF(OR(S59="",T59=""),"Configuration: "&amp;INDEX(Appetite!$I$6:$I$17,MATCH(D59,Appetite!$A$6:$A$17,0)),IF(O59&gt;T59,"Tolerance breach",IF(O59&gt;S59,"Appetite breach","Within appetite")))))))</f>
        <v/>
      </c>
      <c r="V59" s="38" t="str">
        <f>IF(A59="","",IF(COUNTIFS('Risk Acceptance Register'!$B$6:$B$105,A59,'Risk Acceptance Register'!$I$6:$I$105,"Approved")&gt;0,"Yes","No"))</f>
        <v/>
      </c>
      <c r="W59" s="38" t="str">
        <f>IF(V59&lt;&gt;"Yes","",IFERROR(IF(COUNTIFS('Risk Acceptance Register'!$B$6:$B$105,A59,'Risk Acceptance Register'!$T$6:$T$105,"Eligible")&gt;0,LOOKUP(2,1/(('Risk Acceptance Register'!$B$6:$B$105=A59)*('Risk Acceptance Register'!$T$6:$T$105="Eligible")),'Risk Acceptance Register'!$J$6:$J$105),LOOKUP(2,1/(('Risk Acceptance Register'!$B$6:$B$105=A59)*('Risk Acceptance Register'!$I$6:$I$105="Approved")),'Risk Acceptance Register'!$J$6:$J$105))&amp;"",""))</f>
        <v/>
      </c>
      <c r="X59" s="39" t="str">
        <f>IF(V59&lt;&gt;"Yes","",IFERROR(IF(IF(COUNTIFS('Risk Acceptance Register'!$B$6:$B$105,A59,'Risk Acceptance Register'!$T$6:$T$105,"Eligible")&gt;0,LOOKUP(2,1/(('Risk Acceptance Register'!$B$6:$B$105=A59)*('Risk Acceptance Register'!$T$6:$T$105="Eligible")),'Risk Acceptance Register'!$M$6:$M$105),LOOKUP(2,1/(('Risk Acceptance Register'!$B$6:$B$105=A59)*('Risk Acceptance Register'!$I$6:$I$105="Approved")),'Risk Acceptance Register'!$M$6:$M$105))=0,"",IF(COUNTIFS('Risk Acceptance Register'!$B$6:$B$105,A59,'Risk Acceptance Register'!$T$6:$T$105,"Eligible")&gt;0,LOOKUP(2,1/(('Risk Acceptance Register'!$B$6:$B$105=A59)*('Risk Acceptance Register'!$T$6:$T$105="Eligible")),'Risk Acceptance Register'!$M$6:$M$105),LOOKUP(2,1/(('Risk Acceptance Register'!$B$6:$B$105=A59)*('Risk Acceptance Register'!$I$6:$I$105="Approved")),'Risk Acceptance Register'!$M$6:$M$105))),""))</f>
        <v/>
      </c>
      <c r="Y59" s="38" t="str">
        <f>IF(A59="","",IF(U59="Within appetite","Within appetite",IF(AND(U59&lt;&gt;"Appetite breach",U59&lt;&gt;"Tolerance breach"),U59,IF(COUNTIFS('Risk Acceptance Register'!$B$6:$B$105,A59,'Risk Acceptance Register'!$T$6:$T$105,"Eligible")&gt;0,"Breach - formally accepted",IF(V59="Yes",IF(X59="","Accepted - expiry not set",IF(X59&lt;Methodology!$B$4,"Acceptance expired - breach open","Breach - not accepted")),"Breach - not accepted")))))</f>
        <v/>
      </c>
      <c r="Z59" s="40"/>
      <c r="AA59" s="38" t="str">
        <f>IF(OR(A59="",Z59=""),"",IF(Z59&lt;Methodology!$B$4,"Overdue","On schedule"))</f>
        <v/>
      </c>
      <c r="AB59" s="38" t="str">
        <f>IF(OR(U59="",U59="Within appetite"),"",MAX(AB$5:AB58)+1)</f>
        <v/>
      </c>
      <c r="AC59" s="38" t="str">
        <f>IF(A59="","",COUNTIF('Treatment Tracker'!$B$6:$B$105,A59)-COUNTIFS('Treatment Tracker'!$B$6:$B$105,A59,'Treatment Tracker'!$H$6:$H$105,"Completed")-COUNTIFS('Treatment Tracker'!$B$6:$B$105,A59,'Treatment Tracker'!$H$6:$H$105,"Cancelled"))</f>
        <v/>
      </c>
      <c r="AD59" s="38" t="str">
        <f t="shared" si="19"/>
        <v/>
      </c>
      <c r="AE59" s="35"/>
      <c r="AF59" s="35"/>
      <c r="AG59" s="40"/>
      <c r="AH59" s="35"/>
      <c r="AI59" s="38" t="str">
        <f>IF(A59="","",IF(OR(K59="",L59=""),"No assessment",IF(OR(NOT(ISNUMBER(K59)),NOT(ISNUMBER(L59))),"Invalid residual ratings",IF(OR(K59&lt;1,K59&gt;5,L59&lt;1,L59&gt;5,INT(K59)&lt;&gt;K59,INT(L59)&lt;&gt;L59),"Invalid residual ratings",IF(OR(AE59="",AF59="",AG59="",AH59=""),"Incomplete evidence",IF(NOT(ISNUMBER(AG59)),"Invalid assessment date",IF(OR(AG59&gt;Methodology!$B$4,AG59&lt;=0),"Invalid assessment date",IF(AG59+Methodology!$B$3&lt;Methodology!$B$4,"Expired",IF(AL59&lt;&gt;"Approved","Approval not confirmed","Valid")))))))))</f>
        <v/>
      </c>
      <c r="AJ59" s="38" t="str">
        <f>IF(OR(F59="",G59=""),"",MAX(1,ROUND(F59*(1-IFERROR(INDEX(Methodology!$B$41:$B$44,MATCH(J59,Methodology!$A$41:$A$44,0)),0)),0))*G59)</f>
        <v/>
      </c>
      <c r="AK59" s="38" t="str">
        <f t="shared" si="20"/>
        <v/>
      </c>
      <c r="AL59" s="36"/>
    </row>
    <row r="60" spans="1:38" x14ac:dyDescent="0.35">
      <c r="A60" s="35"/>
      <c r="B60" s="24"/>
      <c r="C60" s="24"/>
      <c r="D60" s="35"/>
      <c r="E60" s="35"/>
      <c r="F60" s="36"/>
      <c r="G60" s="36"/>
      <c r="H60" s="37" t="str">
        <f t="shared" si="14"/>
        <v/>
      </c>
      <c r="I60" s="38" t="str">
        <f>IF(NOT(ISNUMBER(H60)),"",INDEX(Methodology!$B$26:$B$29,MATCH(H60,Methodology!$A$26:$A$29,1)))</f>
        <v/>
      </c>
      <c r="J60" s="35"/>
      <c r="K60" s="36"/>
      <c r="L60" s="36"/>
      <c r="M60" s="37" t="str">
        <f t="shared" si="15"/>
        <v/>
      </c>
      <c r="N60" s="37" t="str">
        <f t="shared" si="16"/>
        <v/>
      </c>
      <c r="O60" s="37" t="str">
        <f t="shared" si="17"/>
        <v/>
      </c>
      <c r="P60" s="38" t="str">
        <f>IF(O60="","",INDEX(Methodology!$B$26:$B$29,MATCH(O60,Methodology!$A$26:$A$29,1)))</f>
        <v/>
      </c>
      <c r="Q60" s="36"/>
      <c r="R60" s="37" t="str">
        <f t="shared" si="18"/>
        <v/>
      </c>
      <c r="S60" s="37" t="str">
        <f>IF(D60="","",IFERROR(IF(OR(INDEX(Appetite!$I$6:$I$17,MATCH(D60,Appetite!$A$6:$A$17,0))="OK",INDEX(Appetite!$I$6:$I$17,MATCH(D60,Appetite!$A$6:$A$17,0))="Review overdue - approved"),INDEX(Appetite!$C$6:$C$17,MATCH(D60,Appetite!$A$6:$A$17,0)),""),""))</f>
        <v/>
      </c>
      <c r="T60" s="37" t="str">
        <f>IF(D60="","",IFERROR(IF(OR(INDEX(Appetite!$I$6:$I$17,MATCH(D60,Appetite!$A$6:$A$17,0))="OK",INDEX(Appetite!$I$6:$I$17,MATCH(D60,Appetite!$A$6:$A$17,0))="Review overdue - approved"),INDEX(Appetite!$D$6:$D$17,MATCH(D60,Appetite!$A$6:$A$17,0)),""),""))</f>
        <v/>
      </c>
      <c r="U60" s="38" t="str">
        <f>IF(A60="","",IF(H60="Invalid inherent ratings","Invalid inherent ratings",IF(O60="","Assessment missing",IF(COUNTIF(Appetite!$A$6:$A$17,D60)=0,"Configuration missing",IF(OR(S60="",T60=""),"Configuration: "&amp;INDEX(Appetite!$I$6:$I$17,MATCH(D60,Appetite!$A$6:$A$17,0)),IF(O60&gt;T60,"Tolerance breach",IF(O60&gt;S60,"Appetite breach","Within appetite")))))))</f>
        <v/>
      </c>
      <c r="V60" s="38" t="str">
        <f>IF(A60="","",IF(COUNTIFS('Risk Acceptance Register'!$B$6:$B$105,A60,'Risk Acceptance Register'!$I$6:$I$105,"Approved")&gt;0,"Yes","No"))</f>
        <v/>
      </c>
      <c r="W60" s="38" t="str">
        <f>IF(V60&lt;&gt;"Yes","",IFERROR(IF(COUNTIFS('Risk Acceptance Register'!$B$6:$B$105,A60,'Risk Acceptance Register'!$T$6:$T$105,"Eligible")&gt;0,LOOKUP(2,1/(('Risk Acceptance Register'!$B$6:$B$105=A60)*('Risk Acceptance Register'!$T$6:$T$105="Eligible")),'Risk Acceptance Register'!$J$6:$J$105),LOOKUP(2,1/(('Risk Acceptance Register'!$B$6:$B$105=A60)*('Risk Acceptance Register'!$I$6:$I$105="Approved")),'Risk Acceptance Register'!$J$6:$J$105))&amp;"",""))</f>
        <v/>
      </c>
      <c r="X60" s="39" t="str">
        <f>IF(V60&lt;&gt;"Yes","",IFERROR(IF(IF(COUNTIFS('Risk Acceptance Register'!$B$6:$B$105,A60,'Risk Acceptance Register'!$T$6:$T$105,"Eligible")&gt;0,LOOKUP(2,1/(('Risk Acceptance Register'!$B$6:$B$105=A60)*('Risk Acceptance Register'!$T$6:$T$105="Eligible")),'Risk Acceptance Register'!$M$6:$M$105),LOOKUP(2,1/(('Risk Acceptance Register'!$B$6:$B$105=A60)*('Risk Acceptance Register'!$I$6:$I$105="Approved")),'Risk Acceptance Register'!$M$6:$M$105))=0,"",IF(COUNTIFS('Risk Acceptance Register'!$B$6:$B$105,A60,'Risk Acceptance Register'!$T$6:$T$105,"Eligible")&gt;0,LOOKUP(2,1/(('Risk Acceptance Register'!$B$6:$B$105=A60)*('Risk Acceptance Register'!$T$6:$T$105="Eligible")),'Risk Acceptance Register'!$M$6:$M$105),LOOKUP(2,1/(('Risk Acceptance Register'!$B$6:$B$105=A60)*('Risk Acceptance Register'!$I$6:$I$105="Approved")),'Risk Acceptance Register'!$M$6:$M$105))),""))</f>
        <v/>
      </c>
      <c r="Y60" s="38" t="str">
        <f>IF(A60="","",IF(U60="Within appetite","Within appetite",IF(AND(U60&lt;&gt;"Appetite breach",U60&lt;&gt;"Tolerance breach"),U60,IF(COUNTIFS('Risk Acceptance Register'!$B$6:$B$105,A60,'Risk Acceptance Register'!$T$6:$T$105,"Eligible")&gt;0,"Breach - formally accepted",IF(V60="Yes",IF(X60="","Accepted - expiry not set",IF(X60&lt;Methodology!$B$4,"Acceptance expired - breach open","Breach - not accepted")),"Breach - not accepted")))))</f>
        <v/>
      </c>
      <c r="Z60" s="40"/>
      <c r="AA60" s="38" t="str">
        <f>IF(OR(A60="",Z60=""),"",IF(Z60&lt;Methodology!$B$4,"Overdue","On schedule"))</f>
        <v/>
      </c>
      <c r="AB60" s="38" t="str">
        <f>IF(OR(U60="",U60="Within appetite"),"",MAX(AB$5:AB59)+1)</f>
        <v/>
      </c>
      <c r="AC60" s="38" t="str">
        <f>IF(A60="","",COUNTIF('Treatment Tracker'!$B$6:$B$105,A60)-COUNTIFS('Treatment Tracker'!$B$6:$B$105,A60,'Treatment Tracker'!$H$6:$H$105,"Completed")-COUNTIFS('Treatment Tracker'!$B$6:$B$105,A60,'Treatment Tracker'!$H$6:$H$105,"Cancelled"))</f>
        <v/>
      </c>
      <c r="AD60" s="38" t="str">
        <f t="shared" si="19"/>
        <v/>
      </c>
      <c r="AE60" s="35"/>
      <c r="AF60" s="35"/>
      <c r="AG60" s="40"/>
      <c r="AH60" s="35"/>
      <c r="AI60" s="38" t="str">
        <f>IF(A60="","",IF(OR(K60="",L60=""),"No assessment",IF(OR(NOT(ISNUMBER(K60)),NOT(ISNUMBER(L60))),"Invalid residual ratings",IF(OR(K60&lt;1,K60&gt;5,L60&lt;1,L60&gt;5,INT(K60)&lt;&gt;K60,INT(L60)&lt;&gt;L60),"Invalid residual ratings",IF(OR(AE60="",AF60="",AG60="",AH60=""),"Incomplete evidence",IF(NOT(ISNUMBER(AG60)),"Invalid assessment date",IF(OR(AG60&gt;Methodology!$B$4,AG60&lt;=0),"Invalid assessment date",IF(AG60+Methodology!$B$3&lt;Methodology!$B$4,"Expired",IF(AL60&lt;&gt;"Approved","Approval not confirmed","Valid")))))))))</f>
        <v/>
      </c>
      <c r="AJ60" s="38" t="str">
        <f>IF(OR(F60="",G60=""),"",MAX(1,ROUND(F60*(1-IFERROR(INDEX(Methodology!$B$41:$B$44,MATCH(J60,Methodology!$A$41:$A$44,0)),0)),0))*G60)</f>
        <v/>
      </c>
      <c r="AK60" s="38" t="str">
        <f t="shared" si="20"/>
        <v/>
      </c>
      <c r="AL60" s="36"/>
    </row>
    <row r="61" spans="1:38" x14ac:dyDescent="0.35">
      <c r="A61" s="35"/>
      <c r="B61" s="24"/>
      <c r="C61" s="24"/>
      <c r="D61" s="35"/>
      <c r="E61" s="35"/>
      <c r="F61" s="36"/>
      <c r="G61" s="36"/>
      <c r="H61" s="37" t="str">
        <f t="shared" si="14"/>
        <v/>
      </c>
      <c r="I61" s="38" t="str">
        <f>IF(NOT(ISNUMBER(H61)),"",INDEX(Methodology!$B$26:$B$29,MATCH(H61,Methodology!$A$26:$A$29,1)))</f>
        <v/>
      </c>
      <c r="J61" s="35"/>
      <c r="K61" s="36"/>
      <c r="L61" s="36"/>
      <c r="M61" s="37" t="str">
        <f t="shared" si="15"/>
        <v/>
      </c>
      <c r="N61" s="37" t="str">
        <f t="shared" si="16"/>
        <v/>
      </c>
      <c r="O61" s="37" t="str">
        <f t="shared" si="17"/>
        <v/>
      </c>
      <c r="P61" s="38" t="str">
        <f>IF(O61="","",INDEX(Methodology!$B$26:$B$29,MATCH(O61,Methodology!$A$26:$A$29,1)))</f>
        <v/>
      </c>
      <c r="Q61" s="36"/>
      <c r="R61" s="37" t="str">
        <f t="shared" si="18"/>
        <v/>
      </c>
      <c r="S61" s="37" t="str">
        <f>IF(D61="","",IFERROR(IF(OR(INDEX(Appetite!$I$6:$I$17,MATCH(D61,Appetite!$A$6:$A$17,0))="OK",INDEX(Appetite!$I$6:$I$17,MATCH(D61,Appetite!$A$6:$A$17,0))="Review overdue - approved"),INDEX(Appetite!$C$6:$C$17,MATCH(D61,Appetite!$A$6:$A$17,0)),""),""))</f>
        <v/>
      </c>
      <c r="T61" s="37" t="str">
        <f>IF(D61="","",IFERROR(IF(OR(INDEX(Appetite!$I$6:$I$17,MATCH(D61,Appetite!$A$6:$A$17,0))="OK",INDEX(Appetite!$I$6:$I$17,MATCH(D61,Appetite!$A$6:$A$17,0))="Review overdue - approved"),INDEX(Appetite!$D$6:$D$17,MATCH(D61,Appetite!$A$6:$A$17,0)),""),""))</f>
        <v/>
      </c>
      <c r="U61" s="38" t="str">
        <f>IF(A61="","",IF(H61="Invalid inherent ratings","Invalid inherent ratings",IF(O61="","Assessment missing",IF(COUNTIF(Appetite!$A$6:$A$17,D61)=0,"Configuration missing",IF(OR(S61="",T61=""),"Configuration: "&amp;INDEX(Appetite!$I$6:$I$17,MATCH(D61,Appetite!$A$6:$A$17,0)),IF(O61&gt;T61,"Tolerance breach",IF(O61&gt;S61,"Appetite breach","Within appetite")))))))</f>
        <v/>
      </c>
      <c r="V61" s="38" t="str">
        <f>IF(A61="","",IF(COUNTIFS('Risk Acceptance Register'!$B$6:$B$105,A61,'Risk Acceptance Register'!$I$6:$I$105,"Approved")&gt;0,"Yes","No"))</f>
        <v/>
      </c>
      <c r="W61" s="38" t="str">
        <f>IF(V61&lt;&gt;"Yes","",IFERROR(IF(COUNTIFS('Risk Acceptance Register'!$B$6:$B$105,A61,'Risk Acceptance Register'!$T$6:$T$105,"Eligible")&gt;0,LOOKUP(2,1/(('Risk Acceptance Register'!$B$6:$B$105=A61)*('Risk Acceptance Register'!$T$6:$T$105="Eligible")),'Risk Acceptance Register'!$J$6:$J$105),LOOKUP(2,1/(('Risk Acceptance Register'!$B$6:$B$105=A61)*('Risk Acceptance Register'!$I$6:$I$105="Approved")),'Risk Acceptance Register'!$J$6:$J$105))&amp;"",""))</f>
        <v/>
      </c>
      <c r="X61" s="39" t="str">
        <f>IF(V61&lt;&gt;"Yes","",IFERROR(IF(IF(COUNTIFS('Risk Acceptance Register'!$B$6:$B$105,A61,'Risk Acceptance Register'!$T$6:$T$105,"Eligible")&gt;0,LOOKUP(2,1/(('Risk Acceptance Register'!$B$6:$B$105=A61)*('Risk Acceptance Register'!$T$6:$T$105="Eligible")),'Risk Acceptance Register'!$M$6:$M$105),LOOKUP(2,1/(('Risk Acceptance Register'!$B$6:$B$105=A61)*('Risk Acceptance Register'!$I$6:$I$105="Approved")),'Risk Acceptance Register'!$M$6:$M$105))=0,"",IF(COUNTIFS('Risk Acceptance Register'!$B$6:$B$105,A61,'Risk Acceptance Register'!$T$6:$T$105,"Eligible")&gt;0,LOOKUP(2,1/(('Risk Acceptance Register'!$B$6:$B$105=A61)*('Risk Acceptance Register'!$T$6:$T$105="Eligible")),'Risk Acceptance Register'!$M$6:$M$105),LOOKUP(2,1/(('Risk Acceptance Register'!$B$6:$B$105=A61)*('Risk Acceptance Register'!$I$6:$I$105="Approved")),'Risk Acceptance Register'!$M$6:$M$105))),""))</f>
        <v/>
      </c>
      <c r="Y61" s="38" t="str">
        <f>IF(A61="","",IF(U61="Within appetite","Within appetite",IF(AND(U61&lt;&gt;"Appetite breach",U61&lt;&gt;"Tolerance breach"),U61,IF(COUNTIFS('Risk Acceptance Register'!$B$6:$B$105,A61,'Risk Acceptance Register'!$T$6:$T$105,"Eligible")&gt;0,"Breach - formally accepted",IF(V61="Yes",IF(X61="","Accepted - expiry not set",IF(X61&lt;Methodology!$B$4,"Acceptance expired - breach open","Breach - not accepted")),"Breach - not accepted")))))</f>
        <v/>
      </c>
      <c r="Z61" s="40"/>
      <c r="AA61" s="38" t="str">
        <f>IF(OR(A61="",Z61=""),"",IF(Z61&lt;Methodology!$B$4,"Overdue","On schedule"))</f>
        <v/>
      </c>
      <c r="AB61" s="38" t="str">
        <f>IF(OR(U61="",U61="Within appetite"),"",MAX(AB$5:AB60)+1)</f>
        <v/>
      </c>
      <c r="AC61" s="38" t="str">
        <f>IF(A61="","",COUNTIF('Treatment Tracker'!$B$6:$B$105,A61)-COUNTIFS('Treatment Tracker'!$B$6:$B$105,A61,'Treatment Tracker'!$H$6:$H$105,"Completed")-COUNTIFS('Treatment Tracker'!$B$6:$B$105,A61,'Treatment Tracker'!$H$6:$H$105,"Cancelled"))</f>
        <v/>
      </c>
      <c r="AD61" s="38" t="str">
        <f t="shared" si="19"/>
        <v/>
      </c>
      <c r="AE61" s="35"/>
      <c r="AF61" s="35"/>
      <c r="AG61" s="40"/>
      <c r="AH61" s="35"/>
      <c r="AI61" s="38" t="str">
        <f>IF(A61="","",IF(OR(K61="",L61=""),"No assessment",IF(OR(NOT(ISNUMBER(K61)),NOT(ISNUMBER(L61))),"Invalid residual ratings",IF(OR(K61&lt;1,K61&gt;5,L61&lt;1,L61&gt;5,INT(K61)&lt;&gt;K61,INT(L61)&lt;&gt;L61),"Invalid residual ratings",IF(OR(AE61="",AF61="",AG61="",AH61=""),"Incomplete evidence",IF(NOT(ISNUMBER(AG61)),"Invalid assessment date",IF(OR(AG61&gt;Methodology!$B$4,AG61&lt;=0),"Invalid assessment date",IF(AG61+Methodology!$B$3&lt;Methodology!$B$4,"Expired",IF(AL61&lt;&gt;"Approved","Approval not confirmed","Valid")))))))))</f>
        <v/>
      </c>
      <c r="AJ61" s="38" t="str">
        <f>IF(OR(F61="",G61=""),"",MAX(1,ROUND(F61*(1-IFERROR(INDEX(Methodology!$B$41:$B$44,MATCH(J61,Methodology!$A$41:$A$44,0)),0)),0))*G61)</f>
        <v/>
      </c>
      <c r="AK61" s="38" t="str">
        <f t="shared" si="20"/>
        <v/>
      </c>
      <c r="AL61" s="36"/>
    </row>
    <row r="62" spans="1:38" x14ac:dyDescent="0.35">
      <c r="A62" s="35"/>
      <c r="B62" s="24"/>
      <c r="C62" s="24"/>
      <c r="D62" s="35"/>
      <c r="E62" s="35"/>
      <c r="F62" s="36"/>
      <c r="G62" s="36"/>
      <c r="H62" s="37" t="str">
        <f t="shared" si="14"/>
        <v/>
      </c>
      <c r="I62" s="38" t="str">
        <f>IF(NOT(ISNUMBER(H62)),"",INDEX(Methodology!$B$26:$B$29,MATCH(H62,Methodology!$A$26:$A$29,1)))</f>
        <v/>
      </c>
      <c r="J62" s="35"/>
      <c r="K62" s="36"/>
      <c r="L62" s="36"/>
      <c r="M62" s="37" t="str">
        <f t="shared" si="15"/>
        <v/>
      </c>
      <c r="N62" s="37" t="str">
        <f t="shared" si="16"/>
        <v/>
      </c>
      <c r="O62" s="37" t="str">
        <f t="shared" si="17"/>
        <v/>
      </c>
      <c r="P62" s="38" t="str">
        <f>IF(O62="","",INDEX(Methodology!$B$26:$B$29,MATCH(O62,Methodology!$A$26:$A$29,1)))</f>
        <v/>
      </c>
      <c r="Q62" s="36"/>
      <c r="R62" s="37" t="str">
        <f t="shared" si="18"/>
        <v/>
      </c>
      <c r="S62" s="37" t="str">
        <f>IF(D62="","",IFERROR(IF(OR(INDEX(Appetite!$I$6:$I$17,MATCH(D62,Appetite!$A$6:$A$17,0))="OK",INDEX(Appetite!$I$6:$I$17,MATCH(D62,Appetite!$A$6:$A$17,0))="Review overdue - approved"),INDEX(Appetite!$C$6:$C$17,MATCH(D62,Appetite!$A$6:$A$17,0)),""),""))</f>
        <v/>
      </c>
      <c r="T62" s="37" t="str">
        <f>IF(D62="","",IFERROR(IF(OR(INDEX(Appetite!$I$6:$I$17,MATCH(D62,Appetite!$A$6:$A$17,0))="OK",INDEX(Appetite!$I$6:$I$17,MATCH(D62,Appetite!$A$6:$A$17,0))="Review overdue - approved"),INDEX(Appetite!$D$6:$D$17,MATCH(D62,Appetite!$A$6:$A$17,0)),""),""))</f>
        <v/>
      </c>
      <c r="U62" s="38" t="str">
        <f>IF(A62="","",IF(H62="Invalid inherent ratings","Invalid inherent ratings",IF(O62="","Assessment missing",IF(COUNTIF(Appetite!$A$6:$A$17,D62)=0,"Configuration missing",IF(OR(S62="",T62=""),"Configuration: "&amp;INDEX(Appetite!$I$6:$I$17,MATCH(D62,Appetite!$A$6:$A$17,0)),IF(O62&gt;T62,"Tolerance breach",IF(O62&gt;S62,"Appetite breach","Within appetite")))))))</f>
        <v/>
      </c>
      <c r="V62" s="38" t="str">
        <f>IF(A62="","",IF(COUNTIFS('Risk Acceptance Register'!$B$6:$B$105,A62,'Risk Acceptance Register'!$I$6:$I$105,"Approved")&gt;0,"Yes","No"))</f>
        <v/>
      </c>
      <c r="W62" s="38" t="str">
        <f>IF(V62&lt;&gt;"Yes","",IFERROR(IF(COUNTIFS('Risk Acceptance Register'!$B$6:$B$105,A62,'Risk Acceptance Register'!$T$6:$T$105,"Eligible")&gt;0,LOOKUP(2,1/(('Risk Acceptance Register'!$B$6:$B$105=A62)*('Risk Acceptance Register'!$T$6:$T$105="Eligible")),'Risk Acceptance Register'!$J$6:$J$105),LOOKUP(2,1/(('Risk Acceptance Register'!$B$6:$B$105=A62)*('Risk Acceptance Register'!$I$6:$I$105="Approved")),'Risk Acceptance Register'!$J$6:$J$105))&amp;"",""))</f>
        <v/>
      </c>
      <c r="X62" s="39" t="str">
        <f>IF(V62&lt;&gt;"Yes","",IFERROR(IF(IF(COUNTIFS('Risk Acceptance Register'!$B$6:$B$105,A62,'Risk Acceptance Register'!$T$6:$T$105,"Eligible")&gt;0,LOOKUP(2,1/(('Risk Acceptance Register'!$B$6:$B$105=A62)*('Risk Acceptance Register'!$T$6:$T$105="Eligible")),'Risk Acceptance Register'!$M$6:$M$105),LOOKUP(2,1/(('Risk Acceptance Register'!$B$6:$B$105=A62)*('Risk Acceptance Register'!$I$6:$I$105="Approved")),'Risk Acceptance Register'!$M$6:$M$105))=0,"",IF(COUNTIFS('Risk Acceptance Register'!$B$6:$B$105,A62,'Risk Acceptance Register'!$T$6:$T$105,"Eligible")&gt;0,LOOKUP(2,1/(('Risk Acceptance Register'!$B$6:$B$105=A62)*('Risk Acceptance Register'!$T$6:$T$105="Eligible")),'Risk Acceptance Register'!$M$6:$M$105),LOOKUP(2,1/(('Risk Acceptance Register'!$B$6:$B$105=A62)*('Risk Acceptance Register'!$I$6:$I$105="Approved")),'Risk Acceptance Register'!$M$6:$M$105))),""))</f>
        <v/>
      </c>
      <c r="Y62" s="38" t="str">
        <f>IF(A62="","",IF(U62="Within appetite","Within appetite",IF(AND(U62&lt;&gt;"Appetite breach",U62&lt;&gt;"Tolerance breach"),U62,IF(COUNTIFS('Risk Acceptance Register'!$B$6:$B$105,A62,'Risk Acceptance Register'!$T$6:$T$105,"Eligible")&gt;0,"Breach - formally accepted",IF(V62="Yes",IF(X62="","Accepted - expiry not set",IF(X62&lt;Methodology!$B$4,"Acceptance expired - breach open","Breach - not accepted")),"Breach - not accepted")))))</f>
        <v/>
      </c>
      <c r="Z62" s="40"/>
      <c r="AA62" s="38" t="str">
        <f>IF(OR(A62="",Z62=""),"",IF(Z62&lt;Methodology!$B$4,"Overdue","On schedule"))</f>
        <v/>
      </c>
      <c r="AB62" s="38" t="str">
        <f>IF(OR(U62="",U62="Within appetite"),"",MAX(AB$5:AB61)+1)</f>
        <v/>
      </c>
      <c r="AC62" s="38" t="str">
        <f>IF(A62="","",COUNTIF('Treatment Tracker'!$B$6:$B$105,A62)-COUNTIFS('Treatment Tracker'!$B$6:$B$105,A62,'Treatment Tracker'!$H$6:$H$105,"Completed")-COUNTIFS('Treatment Tracker'!$B$6:$B$105,A62,'Treatment Tracker'!$H$6:$H$105,"Cancelled"))</f>
        <v/>
      </c>
      <c r="AD62" s="38" t="str">
        <f t="shared" si="19"/>
        <v/>
      </c>
      <c r="AE62" s="35"/>
      <c r="AF62" s="35"/>
      <c r="AG62" s="40"/>
      <c r="AH62" s="35"/>
      <c r="AI62" s="38" t="str">
        <f>IF(A62="","",IF(OR(K62="",L62=""),"No assessment",IF(OR(NOT(ISNUMBER(K62)),NOT(ISNUMBER(L62))),"Invalid residual ratings",IF(OR(K62&lt;1,K62&gt;5,L62&lt;1,L62&gt;5,INT(K62)&lt;&gt;K62,INT(L62)&lt;&gt;L62),"Invalid residual ratings",IF(OR(AE62="",AF62="",AG62="",AH62=""),"Incomplete evidence",IF(NOT(ISNUMBER(AG62)),"Invalid assessment date",IF(OR(AG62&gt;Methodology!$B$4,AG62&lt;=0),"Invalid assessment date",IF(AG62+Methodology!$B$3&lt;Methodology!$B$4,"Expired",IF(AL62&lt;&gt;"Approved","Approval not confirmed","Valid")))))))))</f>
        <v/>
      </c>
      <c r="AJ62" s="38" t="str">
        <f>IF(OR(F62="",G62=""),"",MAX(1,ROUND(F62*(1-IFERROR(INDEX(Methodology!$B$41:$B$44,MATCH(J62,Methodology!$A$41:$A$44,0)),0)),0))*G62)</f>
        <v/>
      </c>
      <c r="AK62" s="38" t="str">
        <f t="shared" si="20"/>
        <v/>
      </c>
      <c r="AL62" s="36"/>
    </row>
    <row r="63" spans="1:38" x14ac:dyDescent="0.35">
      <c r="A63" s="35"/>
      <c r="B63" s="24"/>
      <c r="C63" s="24"/>
      <c r="D63" s="35"/>
      <c r="E63" s="35"/>
      <c r="F63" s="36"/>
      <c r="G63" s="36"/>
      <c r="H63" s="37" t="str">
        <f t="shared" si="14"/>
        <v/>
      </c>
      <c r="I63" s="38" t="str">
        <f>IF(NOT(ISNUMBER(H63)),"",INDEX(Methodology!$B$26:$B$29,MATCH(H63,Methodology!$A$26:$A$29,1)))</f>
        <v/>
      </c>
      <c r="J63" s="35"/>
      <c r="K63" s="36"/>
      <c r="L63" s="36"/>
      <c r="M63" s="37" t="str">
        <f t="shared" si="15"/>
        <v/>
      </c>
      <c r="N63" s="37" t="str">
        <f t="shared" si="16"/>
        <v/>
      </c>
      <c r="O63" s="37" t="str">
        <f t="shared" si="17"/>
        <v/>
      </c>
      <c r="P63" s="38" t="str">
        <f>IF(O63="","",INDEX(Methodology!$B$26:$B$29,MATCH(O63,Methodology!$A$26:$A$29,1)))</f>
        <v/>
      </c>
      <c r="Q63" s="36"/>
      <c r="R63" s="37" t="str">
        <f t="shared" si="18"/>
        <v/>
      </c>
      <c r="S63" s="37" t="str">
        <f>IF(D63="","",IFERROR(IF(OR(INDEX(Appetite!$I$6:$I$17,MATCH(D63,Appetite!$A$6:$A$17,0))="OK",INDEX(Appetite!$I$6:$I$17,MATCH(D63,Appetite!$A$6:$A$17,0))="Review overdue - approved"),INDEX(Appetite!$C$6:$C$17,MATCH(D63,Appetite!$A$6:$A$17,0)),""),""))</f>
        <v/>
      </c>
      <c r="T63" s="37" t="str">
        <f>IF(D63="","",IFERROR(IF(OR(INDEX(Appetite!$I$6:$I$17,MATCH(D63,Appetite!$A$6:$A$17,0))="OK",INDEX(Appetite!$I$6:$I$17,MATCH(D63,Appetite!$A$6:$A$17,0))="Review overdue - approved"),INDEX(Appetite!$D$6:$D$17,MATCH(D63,Appetite!$A$6:$A$17,0)),""),""))</f>
        <v/>
      </c>
      <c r="U63" s="38" t="str">
        <f>IF(A63="","",IF(H63="Invalid inherent ratings","Invalid inherent ratings",IF(O63="","Assessment missing",IF(COUNTIF(Appetite!$A$6:$A$17,D63)=0,"Configuration missing",IF(OR(S63="",T63=""),"Configuration: "&amp;INDEX(Appetite!$I$6:$I$17,MATCH(D63,Appetite!$A$6:$A$17,0)),IF(O63&gt;T63,"Tolerance breach",IF(O63&gt;S63,"Appetite breach","Within appetite")))))))</f>
        <v/>
      </c>
      <c r="V63" s="38" t="str">
        <f>IF(A63="","",IF(COUNTIFS('Risk Acceptance Register'!$B$6:$B$105,A63,'Risk Acceptance Register'!$I$6:$I$105,"Approved")&gt;0,"Yes","No"))</f>
        <v/>
      </c>
      <c r="W63" s="38" t="str">
        <f>IF(V63&lt;&gt;"Yes","",IFERROR(IF(COUNTIFS('Risk Acceptance Register'!$B$6:$B$105,A63,'Risk Acceptance Register'!$T$6:$T$105,"Eligible")&gt;0,LOOKUP(2,1/(('Risk Acceptance Register'!$B$6:$B$105=A63)*('Risk Acceptance Register'!$T$6:$T$105="Eligible")),'Risk Acceptance Register'!$J$6:$J$105),LOOKUP(2,1/(('Risk Acceptance Register'!$B$6:$B$105=A63)*('Risk Acceptance Register'!$I$6:$I$105="Approved")),'Risk Acceptance Register'!$J$6:$J$105))&amp;"",""))</f>
        <v/>
      </c>
      <c r="X63" s="39" t="str">
        <f>IF(V63&lt;&gt;"Yes","",IFERROR(IF(IF(COUNTIFS('Risk Acceptance Register'!$B$6:$B$105,A63,'Risk Acceptance Register'!$T$6:$T$105,"Eligible")&gt;0,LOOKUP(2,1/(('Risk Acceptance Register'!$B$6:$B$105=A63)*('Risk Acceptance Register'!$T$6:$T$105="Eligible")),'Risk Acceptance Register'!$M$6:$M$105),LOOKUP(2,1/(('Risk Acceptance Register'!$B$6:$B$105=A63)*('Risk Acceptance Register'!$I$6:$I$105="Approved")),'Risk Acceptance Register'!$M$6:$M$105))=0,"",IF(COUNTIFS('Risk Acceptance Register'!$B$6:$B$105,A63,'Risk Acceptance Register'!$T$6:$T$105,"Eligible")&gt;0,LOOKUP(2,1/(('Risk Acceptance Register'!$B$6:$B$105=A63)*('Risk Acceptance Register'!$T$6:$T$105="Eligible")),'Risk Acceptance Register'!$M$6:$M$105),LOOKUP(2,1/(('Risk Acceptance Register'!$B$6:$B$105=A63)*('Risk Acceptance Register'!$I$6:$I$105="Approved")),'Risk Acceptance Register'!$M$6:$M$105))),""))</f>
        <v/>
      </c>
      <c r="Y63" s="38" t="str">
        <f>IF(A63="","",IF(U63="Within appetite","Within appetite",IF(AND(U63&lt;&gt;"Appetite breach",U63&lt;&gt;"Tolerance breach"),U63,IF(COUNTIFS('Risk Acceptance Register'!$B$6:$B$105,A63,'Risk Acceptance Register'!$T$6:$T$105,"Eligible")&gt;0,"Breach - formally accepted",IF(V63="Yes",IF(X63="","Accepted - expiry not set",IF(X63&lt;Methodology!$B$4,"Acceptance expired - breach open","Breach - not accepted")),"Breach - not accepted")))))</f>
        <v/>
      </c>
      <c r="Z63" s="40"/>
      <c r="AA63" s="38" t="str">
        <f>IF(OR(A63="",Z63=""),"",IF(Z63&lt;Methodology!$B$4,"Overdue","On schedule"))</f>
        <v/>
      </c>
      <c r="AB63" s="38" t="str">
        <f>IF(OR(U63="",U63="Within appetite"),"",MAX(AB$5:AB62)+1)</f>
        <v/>
      </c>
      <c r="AC63" s="38" t="str">
        <f>IF(A63="","",COUNTIF('Treatment Tracker'!$B$6:$B$105,A63)-COUNTIFS('Treatment Tracker'!$B$6:$B$105,A63,'Treatment Tracker'!$H$6:$H$105,"Completed")-COUNTIFS('Treatment Tracker'!$B$6:$B$105,A63,'Treatment Tracker'!$H$6:$H$105,"Cancelled"))</f>
        <v/>
      </c>
      <c r="AD63" s="38" t="str">
        <f t="shared" si="19"/>
        <v/>
      </c>
      <c r="AE63" s="35"/>
      <c r="AF63" s="35"/>
      <c r="AG63" s="40"/>
      <c r="AH63" s="35"/>
      <c r="AI63" s="38" t="str">
        <f>IF(A63="","",IF(OR(K63="",L63=""),"No assessment",IF(OR(NOT(ISNUMBER(K63)),NOT(ISNUMBER(L63))),"Invalid residual ratings",IF(OR(K63&lt;1,K63&gt;5,L63&lt;1,L63&gt;5,INT(K63)&lt;&gt;K63,INT(L63)&lt;&gt;L63),"Invalid residual ratings",IF(OR(AE63="",AF63="",AG63="",AH63=""),"Incomplete evidence",IF(NOT(ISNUMBER(AG63)),"Invalid assessment date",IF(OR(AG63&gt;Methodology!$B$4,AG63&lt;=0),"Invalid assessment date",IF(AG63+Methodology!$B$3&lt;Methodology!$B$4,"Expired",IF(AL63&lt;&gt;"Approved","Approval not confirmed","Valid")))))))))</f>
        <v/>
      </c>
      <c r="AJ63" s="38" t="str">
        <f>IF(OR(F63="",G63=""),"",MAX(1,ROUND(F63*(1-IFERROR(INDEX(Methodology!$B$41:$B$44,MATCH(J63,Methodology!$A$41:$A$44,0)),0)),0))*G63)</f>
        <v/>
      </c>
      <c r="AK63" s="38" t="str">
        <f t="shared" si="20"/>
        <v/>
      </c>
      <c r="AL63" s="36"/>
    </row>
    <row r="64" spans="1:38" x14ac:dyDescent="0.35">
      <c r="A64" s="35"/>
      <c r="B64" s="24"/>
      <c r="C64" s="24"/>
      <c r="D64" s="35"/>
      <c r="E64" s="35"/>
      <c r="F64" s="36"/>
      <c r="G64" s="36"/>
      <c r="H64" s="37" t="str">
        <f t="shared" si="14"/>
        <v/>
      </c>
      <c r="I64" s="38" t="str">
        <f>IF(NOT(ISNUMBER(H64)),"",INDEX(Methodology!$B$26:$B$29,MATCH(H64,Methodology!$A$26:$A$29,1)))</f>
        <v/>
      </c>
      <c r="J64" s="35"/>
      <c r="K64" s="36"/>
      <c r="L64" s="36"/>
      <c r="M64" s="37" t="str">
        <f t="shared" si="15"/>
        <v/>
      </c>
      <c r="N64" s="37" t="str">
        <f t="shared" si="16"/>
        <v/>
      </c>
      <c r="O64" s="37" t="str">
        <f t="shared" si="17"/>
        <v/>
      </c>
      <c r="P64" s="38" t="str">
        <f>IF(O64="","",INDEX(Methodology!$B$26:$B$29,MATCH(O64,Methodology!$A$26:$A$29,1)))</f>
        <v/>
      </c>
      <c r="Q64" s="36"/>
      <c r="R64" s="37" t="str">
        <f t="shared" si="18"/>
        <v/>
      </c>
      <c r="S64" s="37" t="str">
        <f>IF(D64="","",IFERROR(IF(OR(INDEX(Appetite!$I$6:$I$17,MATCH(D64,Appetite!$A$6:$A$17,0))="OK",INDEX(Appetite!$I$6:$I$17,MATCH(D64,Appetite!$A$6:$A$17,0))="Review overdue - approved"),INDEX(Appetite!$C$6:$C$17,MATCH(D64,Appetite!$A$6:$A$17,0)),""),""))</f>
        <v/>
      </c>
      <c r="T64" s="37" t="str">
        <f>IF(D64="","",IFERROR(IF(OR(INDEX(Appetite!$I$6:$I$17,MATCH(D64,Appetite!$A$6:$A$17,0))="OK",INDEX(Appetite!$I$6:$I$17,MATCH(D64,Appetite!$A$6:$A$17,0))="Review overdue - approved"),INDEX(Appetite!$D$6:$D$17,MATCH(D64,Appetite!$A$6:$A$17,0)),""),""))</f>
        <v/>
      </c>
      <c r="U64" s="38" t="str">
        <f>IF(A64="","",IF(H64="Invalid inherent ratings","Invalid inherent ratings",IF(O64="","Assessment missing",IF(COUNTIF(Appetite!$A$6:$A$17,D64)=0,"Configuration missing",IF(OR(S64="",T64=""),"Configuration: "&amp;INDEX(Appetite!$I$6:$I$17,MATCH(D64,Appetite!$A$6:$A$17,0)),IF(O64&gt;T64,"Tolerance breach",IF(O64&gt;S64,"Appetite breach","Within appetite")))))))</f>
        <v/>
      </c>
      <c r="V64" s="38" t="str">
        <f>IF(A64="","",IF(COUNTIFS('Risk Acceptance Register'!$B$6:$B$105,A64,'Risk Acceptance Register'!$I$6:$I$105,"Approved")&gt;0,"Yes","No"))</f>
        <v/>
      </c>
      <c r="W64" s="38" t="str">
        <f>IF(V64&lt;&gt;"Yes","",IFERROR(IF(COUNTIFS('Risk Acceptance Register'!$B$6:$B$105,A64,'Risk Acceptance Register'!$T$6:$T$105,"Eligible")&gt;0,LOOKUP(2,1/(('Risk Acceptance Register'!$B$6:$B$105=A64)*('Risk Acceptance Register'!$T$6:$T$105="Eligible")),'Risk Acceptance Register'!$J$6:$J$105),LOOKUP(2,1/(('Risk Acceptance Register'!$B$6:$B$105=A64)*('Risk Acceptance Register'!$I$6:$I$105="Approved")),'Risk Acceptance Register'!$J$6:$J$105))&amp;"",""))</f>
        <v/>
      </c>
      <c r="X64" s="39" t="str">
        <f>IF(V64&lt;&gt;"Yes","",IFERROR(IF(IF(COUNTIFS('Risk Acceptance Register'!$B$6:$B$105,A64,'Risk Acceptance Register'!$T$6:$T$105,"Eligible")&gt;0,LOOKUP(2,1/(('Risk Acceptance Register'!$B$6:$B$105=A64)*('Risk Acceptance Register'!$T$6:$T$105="Eligible")),'Risk Acceptance Register'!$M$6:$M$105),LOOKUP(2,1/(('Risk Acceptance Register'!$B$6:$B$105=A64)*('Risk Acceptance Register'!$I$6:$I$105="Approved")),'Risk Acceptance Register'!$M$6:$M$105))=0,"",IF(COUNTIFS('Risk Acceptance Register'!$B$6:$B$105,A64,'Risk Acceptance Register'!$T$6:$T$105,"Eligible")&gt;0,LOOKUP(2,1/(('Risk Acceptance Register'!$B$6:$B$105=A64)*('Risk Acceptance Register'!$T$6:$T$105="Eligible")),'Risk Acceptance Register'!$M$6:$M$105),LOOKUP(2,1/(('Risk Acceptance Register'!$B$6:$B$105=A64)*('Risk Acceptance Register'!$I$6:$I$105="Approved")),'Risk Acceptance Register'!$M$6:$M$105))),""))</f>
        <v/>
      </c>
      <c r="Y64" s="38" t="str">
        <f>IF(A64="","",IF(U64="Within appetite","Within appetite",IF(AND(U64&lt;&gt;"Appetite breach",U64&lt;&gt;"Tolerance breach"),U64,IF(COUNTIFS('Risk Acceptance Register'!$B$6:$B$105,A64,'Risk Acceptance Register'!$T$6:$T$105,"Eligible")&gt;0,"Breach - formally accepted",IF(V64="Yes",IF(X64="","Accepted - expiry not set",IF(X64&lt;Methodology!$B$4,"Acceptance expired - breach open","Breach - not accepted")),"Breach - not accepted")))))</f>
        <v/>
      </c>
      <c r="Z64" s="40"/>
      <c r="AA64" s="38" t="str">
        <f>IF(OR(A64="",Z64=""),"",IF(Z64&lt;Methodology!$B$4,"Overdue","On schedule"))</f>
        <v/>
      </c>
      <c r="AB64" s="38" t="str">
        <f>IF(OR(U64="",U64="Within appetite"),"",MAX(AB$5:AB63)+1)</f>
        <v/>
      </c>
      <c r="AC64" s="38" t="str">
        <f>IF(A64="","",COUNTIF('Treatment Tracker'!$B$6:$B$105,A64)-COUNTIFS('Treatment Tracker'!$B$6:$B$105,A64,'Treatment Tracker'!$H$6:$H$105,"Completed")-COUNTIFS('Treatment Tracker'!$B$6:$B$105,A64,'Treatment Tracker'!$H$6:$H$105,"Cancelled"))</f>
        <v/>
      </c>
      <c r="AD64" s="38" t="str">
        <f t="shared" si="19"/>
        <v/>
      </c>
      <c r="AE64" s="35"/>
      <c r="AF64" s="35"/>
      <c r="AG64" s="40"/>
      <c r="AH64" s="35"/>
      <c r="AI64" s="38" t="str">
        <f>IF(A64="","",IF(OR(K64="",L64=""),"No assessment",IF(OR(NOT(ISNUMBER(K64)),NOT(ISNUMBER(L64))),"Invalid residual ratings",IF(OR(K64&lt;1,K64&gt;5,L64&lt;1,L64&gt;5,INT(K64)&lt;&gt;K64,INT(L64)&lt;&gt;L64),"Invalid residual ratings",IF(OR(AE64="",AF64="",AG64="",AH64=""),"Incomplete evidence",IF(NOT(ISNUMBER(AG64)),"Invalid assessment date",IF(OR(AG64&gt;Methodology!$B$4,AG64&lt;=0),"Invalid assessment date",IF(AG64+Methodology!$B$3&lt;Methodology!$B$4,"Expired",IF(AL64&lt;&gt;"Approved","Approval not confirmed","Valid")))))))))</f>
        <v/>
      </c>
      <c r="AJ64" s="38" t="str">
        <f>IF(OR(F64="",G64=""),"",MAX(1,ROUND(F64*(1-IFERROR(INDEX(Methodology!$B$41:$B$44,MATCH(J64,Methodology!$A$41:$A$44,0)),0)),0))*G64)</f>
        <v/>
      </c>
      <c r="AK64" s="38" t="str">
        <f t="shared" si="20"/>
        <v/>
      </c>
      <c r="AL64" s="36"/>
    </row>
    <row r="65" spans="1:38" x14ac:dyDescent="0.35">
      <c r="A65" s="35"/>
      <c r="B65" s="24"/>
      <c r="C65" s="24"/>
      <c r="D65" s="35"/>
      <c r="E65" s="35"/>
      <c r="F65" s="36"/>
      <c r="G65" s="36"/>
      <c r="H65" s="37" t="str">
        <f t="shared" si="14"/>
        <v/>
      </c>
      <c r="I65" s="38" t="str">
        <f>IF(NOT(ISNUMBER(H65)),"",INDEX(Methodology!$B$26:$B$29,MATCH(H65,Methodology!$A$26:$A$29,1)))</f>
        <v/>
      </c>
      <c r="J65" s="35"/>
      <c r="K65" s="36"/>
      <c r="L65" s="36"/>
      <c r="M65" s="37" t="str">
        <f t="shared" si="15"/>
        <v/>
      </c>
      <c r="N65" s="37" t="str">
        <f t="shared" si="16"/>
        <v/>
      </c>
      <c r="O65" s="37" t="str">
        <f t="shared" si="17"/>
        <v/>
      </c>
      <c r="P65" s="38" t="str">
        <f>IF(O65="","",INDEX(Methodology!$B$26:$B$29,MATCH(O65,Methodology!$A$26:$A$29,1)))</f>
        <v/>
      </c>
      <c r="Q65" s="36"/>
      <c r="R65" s="37" t="str">
        <f t="shared" si="18"/>
        <v/>
      </c>
      <c r="S65" s="37" t="str">
        <f>IF(D65="","",IFERROR(IF(OR(INDEX(Appetite!$I$6:$I$17,MATCH(D65,Appetite!$A$6:$A$17,0))="OK",INDEX(Appetite!$I$6:$I$17,MATCH(D65,Appetite!$A$6:$A$17,0))="Review overdue - approved"),INDEX(Appetite!$C$6:$C$17,MATCH(D65,Appetite!$A$6:$A$17,0)),""),""))</f>
        <v/>
      </c>
      <c r="T65" s="37" t="str">
        <f>IF(D65="","",IFERROR(IF(OR(INDEX(Appetite!$I$6:$I$17,MATCH(D65,Appetite!$A$6:$A$17,0))="OK",INDEX(Appetite!$I$6:$I$17,MATCH(D65,Appetite!$A$6:$A$17,0))="Review overdue - approved"),INDEX(Appetite!$D$6:$D$17,MATCH(D65,Appetite!$A$6:$A$17,0)),""),""))</f>
        <v/>
      </c>
      <c r="U65" s="38" t="str">
        <f>IF(A65="","",IF(H65="Invalid inherent ratings","Invalid inherent ratings",IF(O65="","Assessment missing",IF(COUNTIF(Appetite!$A$6:$A$17,D65)=0,"Configuration missing",IF(OR(S65="",T65=""),"Configuration: "&amp;INDEX(Appetite!$I$6:$I$17,MATCH(D65,Appetite!$A$6:$A$17,0)),IF(O65&gt;T65,"Tolerance breach",IF(O65&gt;S65,"Appetite breach","Within appetite")))))))</f>
        <v/>
      </c>
      <c r="V65" s="38" t="str">
        <f>IF(A65="","",IF(COUNTIFS('Risk Acceptance Register'!$B$6:$B$105,A65,'Risk Acceptance Register'!$I$6:$I$105,"Approved")&gt;0,"Yes","No"))</f>
        <v/>
      </c>
      <c r="W65" s="38" t="str">
        <f>IF(V65&lt;&gt;"Yes","",IFERROR(IF(COUNTIFS('Risk Acceptance Register'!$B$6:$B$105,A65,'Risk Acceptance Register'!$T$6:$T$105,"Eligible")&gt;0,LOOKUP(2,1/(('Risk Acceptance Register'!$B$6:$B$105=A65)*('Risk Acceptance Register'!$T$6:$T$105="Eligible")),'Risk Acceptance Register'!$J$6:$J$105),LOOKUP(2,1/(('Risk Acceptance Register'!$B$6:$B$105=A65)*('Risk Acceptance Register'!$I$6:$I$105="Approved")),'Risk Acceptance Register'!$J$6:$J$105))&amp;"",""))</f>
        <v/>
      </c>
      <c r="X65" s="39" t="str">
        <f>IF(V65&lt;&gt;"Yes","",IFERROR(IF(IF(COUNTIFS('Risk Acceptance Register'!$B$6:$B$105,A65,'Risk Acceptance Register'!$T$6:$T$105,"Eligible")&gt;0,LOOKUP(2,1/(('Risk Acceptance Register'!$B$6:$B$105=A65)*('Risk Acceptance Register'!$T$6:$T$105="Eligible")),'Risk Acceptance Register'!$M$6:$M$105),LOOKUP(2,1/(('Risk Acceptance Register'!$B$6:$B$105=A65)*('Risk Acceptance Register'!$I$6:$I$105="Approved")),'Risk Acceptance Register'!$M$6:$M$105))=0,"",IF(COUNTIFS('Risk Acceptance Register'!$B$6:$B$105,A65,'Risk Acceptance Register'!$T$6:$T$105,"Eligible")&gt;0,LOOKUP(2,1/(('Risk Acceptance Register'!$B$6:$B$105=A65)*('Risk Acceptance Register'!$T$6:$T$105="Eligible")),'Risk Acceptance Register'!$M$6:$M$105),LOOKUP(2,1/(('Risk Acceptance Register'!$B$6:$B$105=A65)*('Risk Acceptance Register'!$I$6:$I$105="Approved")),'Risk Acceptance Register'!$M$6:$M$105))),""))</f>
        <v/>
      </c>
      <c r="Y65" s="38" t="str">
        <f>IF(A65="","",IF(U65="Within appetite","Within appetite",IF(AND(U65&lt;&gt;"Appetite breach",U65&lt;&gt;"Tolerance breach"),U65,IF(COUNTIFS('Risk Acceptance Register'!$B$6:$B$105,A65,'Risk Acceptance Register'!$T$6:$T$105,"Eligible")&gt;0,"Breach - formally accepted",IF(V65="Yes",IF(X65="","Accepted - expiry not set",IF(X65&lt;Methodology!$B$4,"Acceptance expired - breach open","Breach - not accepted")),"Breach - not accepted")))))</f>
        <v/>
      </c>
      <c r="Z65" s="40"/>
      <c r="AA65" s="38" t="str">
        <f>IF(OR(A65="",Z65=""),"",IF(Z65&lt;Methodology!$B$4,"Overdue","On schedule"))</f>
        <v/>
      </c>
      <c r="AB65" s="38" t="str">
        <f>IF(OR(U65="",U65="Within appetite"),"",MAX(AB$5:AB64)+1)</f>
        <v/>
      </c>
      <c r="AC65" s="38" t="str">
        <f>IF(A65="","",COUNTIF('Treatment Tracker'!$B$6:$B$105,A65)-COUNTIFS('Treatment Tracker'!$B$6:$B$105,A65,'Treatment Tracker'!$H$6:$H$105,"Completed")-COUNTIFS('Treatment Tracker'!$B$6:$B$105,A65,'Treatment Tracker'!$H$6:$H$105,"Cancelled"))</f>
        <v/>
      </c>
      <c r="AD65" s="38" t="str">
        <f t="shared" si="19"/>
        <v/>
      </c>
      <c r="AE65" s="35"/>
      <c r="AF65" s="35"/>
      <c r="AG65" s="40"/>
      <c r="AH65" s="35"/>
      <c r="AI65" s="38" t="str">
        <f>IF(A65="","",IF(OR(K65="",L65=""),"No assessment",IF(OR(NOT(ISNUMBER(K65)),NOT(ISNUMBER(L65))),"Invalid residual ratings",IF(OR(K65&lt;1,K65&gt;5,L65&lt;1,L65&gt;5,INT(K65)&lt;&gt;K65,INT(L65)&lt;&gt;L65),"Invalid residual ratings",IF(OR(AE65="",AF65="",AG65="",AH65=""),"Incomplete evidence",IF(NOT(ISNUMBER(AG65)),"Invalid assessment date",IF(OR(AG65&gt;Methodology!$B$4,AG65&lt;=0),"Invalid assessment date",IF(AG65+Methodology!$B$3&lt;Methodology!$B$4,"Expired",IF(AL65&lt;&gt;"Approved","Approval not confirmed","Valid")))))))))</f>
        <v/>
      </c>
      <c r="AJ65" s="38" t="str">
        <f>IF(OR(F65="",G65=""),"",MAX(1,ROUND(F65*(1-IFERROR(INDEX(Methodology!$B$41:$B$44,MATCH(J65,Methodology!$A$41:$A$44,0)),0)),0))*G65)</f>
        <v/>
      </c>
      <c r="AK65" s="38" t="str">
        <f t="shared" si="20"/>
        <v/>
      </c>
      <c r="AL65" s="36"/>
    </row>
    <row r="66" spans="1:38" x14ac:dyDescent="0.35">
      <c r="A66" s="35"/>
      <c r="B66" s="24"/>
      <c r="C66" s="24"/>
      <c r="D66" s="35"/>
      <c r="E66" s="35"/>
      <c r="F66" s="36"/>
      <c r="G66" s="36"/>
      <c r="H66" s="37" t="str">
        <f t="shared" si="14"/>
        <v/>
      </c>
      <c r="I66" s="38" t="str">
        <f>IF(NOT(ISNUMBER(H66)),"",INDEX(Methodology!$B$26:$B$29,MATCH(H66,Methodology!$A$26:$A$29,1)))</f>
        <v/>
      </c>
      <c r="J66" s="35"/>
      <c r="K66" s="36"/>
      <c r="L66" s="36"/>
      <c r="M66" s="37" t="str">
        <f t="shared" si="15"/>
        <v/>
      </c>
      <c r="N66" s="37" t="str">
        <f t="shared" si="16"/>
        <v/>
      </c>
      <c r="O66" s="37" t="str">
        <f t="shared" si="17"/>
        <v/>
      </c>
      <c r="P66" s="38" t="str">
        <f>IF(O66="","",INDEX(Methodology!$B$26:$B$29,MATCH(O66,Methodology!$A$26:$A$29,1)))</f>
        <v/>
      </c>
      <c r="Q66" s="36"/>
      <c r="R66" s="37" t="str">
        <f t="shared" si="18"/>
        <v/>
      </c>
      <c r="S66" s="37" t="str">
        <f>IF(D66="","",IFERROR(IF(OR(INDEX(Appetite!$I$6:$I$17,MATCH(D66,Appetite!$A$6:$A$17,0))="OK",INDEX(Appetite!$I$6:$I$17,MATCH(D66,Appetite!$A$6:$A$17,0))="Review overdue - approved"),INDEX(Appetite!$C$6:$C$17,MATCH(D66,Appetite!$A$6:$A$17,0)),""),""))</f>
        <v/>
      </c>
      <c r="T66" s="37" t="str">
        <f>IF(D66="","",IFERROR(IF(OR(INDEX(Appetite!$I$6:$I$17,MATCH(D66,Appetite!$A$6:$A$17,0))="OK",INDEX(Appetite!$I$6:$I$17,MATCH(D66,Appetite!$A$6:$A$17,0))="Review overdue - approved"),INDEX(Appetite!$D$6:$D$17,MATCH(D66,Appetite!$A$6:$A$17,0)),""),""))</f>
        <v/>
      </c>
      <c r="U66" s="38" t="str">
        <f>IF(A66="","",IF(H66="Invalid inherent ratings","Invalid inherent ratings",IF(O66="","Assessment missing",IF(COUNTIF(Appetite!$A$6:$A$17,D66)=0,"Configuration missing",IF(OR(S66="",T66=""),"Configuration: "&amp;INDEX(Appetite!$I$6:$I$17,MATCH(D66,Appetite!$A$6:$A$17,0)),IF(O66&gt;T66,"Tolerance breach",IF(O66&gt;S66,"Appetite breach","Within appetite")))))))</f>
        <v/>
      </c>
      <c r="V66" s="38" t="str">
        <f>IF(A66="","",IF(COUNTIFS('Risk Acceptance Register'!$B$6:$B$105,A66,'Risk Acceptance Register'!$I$6:$I$105,"Approved")&gt;0,"Yes","No"))</f>
        <v/>
      </c>
      <c r="W66" s="38" t="str">
        <f>IF(V66&lt;&gt;"Yes","",IFERROR(IF(COUNTIFS('Risk Acceptance Register'!$B$6:$B$105,A66,'Risk Acceptance Register'!$T$6:$T$105,"Eligible")&gt;0,LOOKUP(2,1/(('Risk Acceptance Register'!$B$6:$B$105=A66)*('Risk Acceptance Register'!$T$6:$T$105="Eligible")),'Risk Acceptance Register'!$J$6:$J$105),LOOKUP(2,1/(('Risk Acceptance Register'!$B$6:$B$105=A66)*('Risk Acceptance Register'!$I$6:$I$105="Approved")),'Risk Acceptance Register'!$J$6:$J$105))&amp;"",""))</f>
        <v/>
      </c>
      <c r="X66" s="39" t="str">
        <f>IF(V66&lt;&gt;"Yes","",IFERROR(IF(IF(COUNTIFS('Risk Acceptance Register'!$B$6:$B$105,A66,'Risk Acceptance Register'!$T$6:$T$105,"Eligible")&gt;0,LOOKUP(2,1/(('Risk Acceptance Register'!$B$6:$B$105=A66)*('Risk Acceptance Register'!$T$6:$T$105="Eligible")),'Risk Acceptance Register'!$M$6:$M$105),LOOKUP(2,1/(('Risk Acceptance Register'!$B$6:$B$105=A66)*('Risk Acceptance Register'!$I$6:$I$105="Approved")),'Risk Acceptance Register'!$M$6:$M$105))=0,"",IF(COUNTIFS('Risk Acceptance Register'!$B$6:$B$105,A66,'Risk Acceptance Register'!$T$6:$T$105,"Eligible")&gt;0,LOOKUP(2,1/(('Risk Acceptance Register'!$B$6:$B$105=A66)*('Risk Acceptance Register'!$T$6:$T$105="Eligible")),'Risk Acceptance Register'!$M$6:$M$105),LOOKUP(2,1/(('Risk Acceptance Register'!$B$6:$B$105=A66)*('Risk Acceptance Register'!$I$6:$I$105="Approved")),'Risk Acceptance Register'!$M$6:$M$105))),""))</f>
        <v/>
      </c>
      <c r="Y66" s="38" t="str">
        <f>IF(A66="","",IF(U66="Within appetite","Within appetite",IF(AND(U66&lt;&gt;"Appetite breach",U66&lt;&gt;"Tolerance breach"),U66,IF(COUNTIFS('Risk Acceptance Register'!$B$6:$B$105,A66,'Risk Acceptance Register'!$T$6:$T$105,"Eligible")&gt;0,"Breach - formally accepted",IF(V66="Yes",IF(X66="","Accepted - expiry not set",IF(X66&lt;Methodology!$B$4,"Acceptance expired - breach open","Breach - not accepted")),"Breach - not accepted")))))</f>
        <v/>
      </c>
      <c r="Z66" s="40"/>
      <c r="AA66" s="38" t="str">
        <f>IF(OR(A66="",Z66=""),"",IF(Z66&lt;Methodology!$B$4,"Overdue","On schedule"))</f>
        <v/>
      </c>
      <c r="AB66" s="38" t="str">
        <f>IF(OR(U66="",U66="Within appetite"),"",MAX(AB$5:AB65)+1)</f>
        <v/>
      </c>
      <c r="AC66" s="38" t="str">
        <f>IF(A66="","",COUNTIF('Treatment Tracker'!$B$6:$B$105,A66)-COUNTIFS('Treatment Tracker'!$B$6:$B$105,A66,'Treatment Tracker'!$H$6:$H$105,"Completed")-COUNTIFS('Treatment Tracker'!$B$6:$B$105,A66,'Treatment Tracker'!$H$6:$H$105,"Cancelled"))</f>
        <v/>
      </c>
      <c r="AD66" s="38" t="str">
        <f t="shared" si="19"/>
        <v/>
      </c>
      <c r="AE66" s="35"/>
      <c r="AF66" s="35"/>
      <c r="AG66" s="40"/>
      <c r="AH66" s="35"/>
      <c r="AI66" s="38" t="str">
        <f>IF(A66="","",IF(OR(K66="",L66=""),"No assessment",IF(OR(NOT(ISNUMBER(K66)),NOT(ISNUMBER(L66))),"Invalid residual ratings",IF(OR(K66&lt;1,K66&gt;5,L66&lt;1,L66&gt;5,INT(K66)&lt;&gt;K66,INT(L66)&lt;&gt;L66),"Invalid residual ratings",IF(OR(AE66="",AF66="",AG66="",AH66=""),"Incomplete evidence",IF(NOT(ISNUMBER(AG66)),"Invalid assessment date",IF(OR(AG66&gt;Methodology!$B$4,AG66&lt;=0),"Invalid assessment date",IF(AG66+Methodology!$B$3&lt;Methodology!$B$4,"Expired",IF(AL66&lt;&gt;"Approved","Approval not confirmed","Valid")))))))))</f>
        <v/>
      </c>
      <c r="AJ66" s="38" t="str">
        <f>IF(OR(F66="",G66=""),"",MAX(1,ROUND(F66*(1-IFERROR(INDEX(Methodology!$B$41:$B$44,MATCH(J66,Methodology!$A$41:$A$44,0)),0)),0))*G66)</f>
        <v/>
      </c>
      <c r="AK66" s="38" t="str">
        <f t="shared" si="20"/>
        <v/>
      </c>
      <c r="AL66" s="36"/>
    </row>
    <row r="67" spans="1:38" x14ac:dyDescent="0.35">
      <c r="A67" s="35"/>
      <c r="B67" s="24"/>
      <c r="C67" s="24"/>
      <c r="D67" s="35"/>
      <c r="E67" s="35"/>
      <c r="F67" s="36"/>
      <c r="G67" s="36"/>
      <c r="H67" s="37" t="str">
        <f t="shared" si="14"/>
        <v/>
      </c>
      <c r="I67" s="38" t="str">
        <f>IF(NOT(ISNUMBER(H67)),"",INDEX(Methodology!$B$26:$B$29,MATCH(H67,Methodology!$A$26:$A$29,1)))</f>
        <v/>
      </c>
      <c r="J67" s="35"/>
      <c r="K67" s="36"/>
      <c r="L67" s="36"/>
      <c r="M67" s="37" t="str">
        <f t="shared" si="15"/>
        <v/>
      </c>
      <c r="N67" s="37" t="str">
        <f t="shared" si="16"/>
        <v/>
      </c>
      <c r="O67" s="37" t="str">
        <f t="shared" si="17"/>
        <v/>
      </c>
      <c r="P67" s="38" t="str">
        <f>IF(O67="","",INDEX(Methodology!$B$26:$B$29,MATCH(O67,Methodology!$A$26:$A$29,1)))</f>
        <v/>
      </c>
      <c r="Q67" s="36"/>
      <c r="R67" s="37" t="str">
        <f t="shared" si="18"/>
        <v/>
      </c>
      <c r="S67" s="37" t="str">
        <f>IF(D67="","",IFERROR(IF(OR(INDEX(Appetite!$I$6:$I$17,MATCH(D67,Appetite!$A$6:$A$17,0))="OK",INDEX(Appetite!$I$6:$I$17,MATCH(D67,Appetite!$A$6:$A$17,0))="Review overdue - approved"),INDEX(Appetite!$C$6:$C$17,MATCH(D67,Appetite!$A$6:$A$17,0)),""),""))</f>
        <v/>
      </c>
      <c r="T67" s="37" t="str">
        <f>IF(D67="","",IFERROR(IF(OR(INDEX(Appetite!$I$6:$I$17,MATCH(D67,Appetite!$A$6:$A$17,0))="OK",INDEX(Appetite!$I$6:$I$17,MATCH(D67,Appetite!$A$6:$A$17,0))="Review overdue - approved"),INDEX(Appetite!$D$6:$D$17,MATCH(D67,Appetite!$A$6:$A$17,0)),""),""))</f>
        <v/>
      </c>
      <c r="U67" s="38" t="str">
        <f>IF(A67="","",IF(H67="Invalid inherent ratings","Invalid inherent ratings",IF(O67="","Assessment missing",IF(COUNTIF(Appetite!$A$6:$A$17,D67)=0,"Configuration missing",IF(OR(S67="",T67=""),"Configuration: "&amp;INDEX(Appetite!$I$6:$I$17,MATCH(D67,Appetite!$A$6:$A$17,0)),IF(O67&gt;T67,"Tolerance breach",IF(O67&gt;S67,"Appetite breach","Within appetite")))))))</f>
        <v/>
      </c>
      <c r="V67" s="38" t="str">
        <f>IF(A67="","",IF(COUNTIFS('Risk Acceptance Register'!$B$6:$B$105,A67,'Risk Acceptance Register'!$I$6:$I$105,"Approved")&gt;0,"Yes","No"))</f>
        <v/>
      </c>
      <c r="W67" s="38" t="str">
        <f>IF(V67&lt;&gt;"Yes","",IFERROR(IF(COUNTIFS('Risk Acceptance Register'!$B$6:$B$105,A67,'Risk Acceptance Register'!$T$6:$T$105,"Eligible")&gt;0,LOOKUP(2,1/(('Risk Acceptance Register'!$B$6:$B$105=A67)*('Risk Acceptance Register'!$T$6:$T$105="Eligible")),'Risk Acceptance Register'!$J$6:$J$105),LOOKUP(2,1/(('Risk Acceptance Register'!$B$6:$B$105=A67)*('Risk Acceptance Register'!$I$6:$I$105="Approved")),'Risk Acceptance Register'!$J$6:$J$105))&amp;"",""))</f>
        <v/>
      </c>
      <c r="X67" s="39" t="str">
        <f>IF(V67&lt;&gt;"Yes","",IFERROR(IF(IF(COUNTIFS('Risk Acceptance Register'!$B$6:$B$105,A67,'Risk Acceptance Register'!$T$6:$T$105,"Eligible")&gt;0,LOOKUP(2,1/(('Risk Acceptance Register'!$B$6:$B$105=A67)*('Risk Acceptance Register'!$T$6:$T$105="Eligible")),'Risk Acceptance Register'!$M$6:$M$105),LOOKUP(2,1/(('Risk Acceptance Register'!$B$6:$B$105=A67)*('Risk Acceptance Register'!$I$6:$I$105="Approved")),'Risk Acceptance Register'!$M$6:$M$105))=0,"",IF(COUNTIFS('Risk Acceptance Register'!$B$6:$B$105,A67,'Risk Acceptance Register'!$T$6:$T$105,"Eligible")&gt;0,LOOKUP(2,1/(('Risk Acceptance Register'!$B$6:$B$105=A67)*('Risk Acceptance Register'!$T$6:$T$105="Eligible")),'Risk Acceptance Register'!$M$6:$M$105),LOOKUP(2,1/(('Risk Acceptance Register'!$B$6:$B$105=A67)*('Risk Acceptance Register'!$I$6:$I$105="Approved")),'Risk Acceptance Register'!$M$6:$M$105))),""))</f>
        <v/>
      </c>
      <c r="Y67" s="38" t="str">
        <f>IF(A67="","",IF(U67="Within appetite","Within appetite",IF(AND(U67&lt;&gt;"Appetite breach",U67&lt;&gt;"Tolerance breach"),U67,IF(COUNTIFS('Risk Acceptance Register'!$B$6:$B$105,A67,'Risk Acceptance Register'!$T$6:$T$105,"Eligible")&gt;0,"Breach - formally accepted",IF(V67="Yes",IF(X67="","Accepted - expiry not set",IF(X67&lt;Methodology!$B$4,"Acceptance expired - breach open","Breach - not accepted")),"Breach - not accepted")))))</f>
        <v/>
      </c>
      <c r="Z67" s="40"/>
      <c r="AA67" s="38" t="str">
        <f>IF(OR(A67="",Z67=""),"",IF(Z67&lt;Methodology!$B$4,"Overdue","On schedule"))</f>
        <v/>
      </c>
      <c r="AB67" s="38" t="str">
        <f>IF(OR(U67="",U67="Within appetite"),"",MAX(AB$5:AB66)+1)</f>
        <v/>
      </c>
      <c r="AC67" s="38" t="str">
        <f>IF(A67="","",COUNTIF('Treatment Tracker'!$B$6:$B$105,A67)-COUNTIFS('Treatment Tracker'!$B$6:$B$105,A67,'Treatment Tracker'!$H$6:$H$105,"Completed")-COUNTIFS('Treatment Tracker'!$B$6:$B$105,A67,'Treatment Tracker'!$H$6:$H$105,"Cancelled"))</f>
        <v/>
      </c>
      <c r="AD67" s="38" t="str">
        <f t="shared" si="19"/>
        <v/>
      </c>
      <c r="AE67" s="35"/>
      <c r="AF67" s="35"/>
      <c r="AG67" s="40"/>
      <c r="AH67" s="35"/>
      <c r="AI67" s="38" t="str">
        <f>IF(A67="","",IF(OR(K67="",L67=""),"No assessment",IF(OR(NOT(ISNUMBER(K67)),NOT(ISNUMBER(L67))),"Invalid residual ratings",IF(OR(K67&lt;1,K67&gt;5,L67&lt;1,L67&gt;5,INT(K67)&lt;&gt;K67,INT(L67)&lt;&gt;L67),"Invalid residual ratings",IF(OR(AE67="",AF67="",AG67="",AH67=""),"Incomplete evidence",IF(NOT(ISNUMBER(AG67)),"Invalid assessment date",IF(OR(AG67&gt;Methodology!$B$4,AG67&lt;=0),"Invalid assessment date",IF(AG67+Methodology!$B$3&lt;Methodology!$B$4,"Expired",IF(AL67&lt;&gt;"Approved","Approval not confirmed","Valid")))))))))</f>
        <v/>
      </c>
      <c r="AJ67" s="38" t="str">
        <f>IF(OR(F67="",G67=""),"",MAX(1,ROUND(F67*(1-IFERROR(INDEX(Methodology!$B$41:$B$44,MATCH(J67,Methodology!$A$41:$A$44,0)),0)),0))*G67)</f>
        <v/>
      </c>
      <c r="AK67" s="38" t="str">
        <f t="shared" si="20"/>
        <v/>
      </c>
      <c r="AL67" s="36"/>
    </row>
    <row r="68" spans="1:38" x14ac:dyDescent="0.35">
      <c r="A68" s="35"/>
      <c r="B68" s="24"/>
      <c r="C68" s="24"/>
      <c r="D68" s="35"/>
      <c r="E68" s="35"/>
      <c r="F68" s="36"/>
      <c r="G68" s="36"/>
      <c r="H68" s="37" t="str">
        <f t="shared" si="14"/>
        <v/>
      </c>
      <c r="I68" s="38" t="str">
        <f>IF(NOT(ISNUMBER(H68)),"",INDEX(Methodology!$B$26:$B$29,MATCH(H68,Methodology!$A$26:$A$29,1)))</f>
        <v/>
      </c>
      <c r="J68" s="35"/>
      <c r="K68" s="36"/>
      <c r="L68" s="36"/>
      <c r="M68" s="37" t="str">
        <f t="shared" si="15"/>
        <v/>
      </c>
      <c r="N68" s="37" t="str">
        <f t="shared" si="16"/>
        <v/>
      </c>
      <c r="O68" s="37" t="str">
        <f t="shared" si="17"/>
        <v/>
      </c>
      <c r="P68" s="38" t="str">
        <f>IF(O68="","",INDEX(Methodology!$B$26:$B$29,MATCH(O68,Methodology!$A$26:$A$29,1)))</f>
        <v/>
      </c>
      <c r="Q68" s="36"/>
      <c r="R68" s="37" t="str">
        <f t="shared" si="18"/>
        <v/>
      </c>
      <c r="S68" s="37" t="str">
        <f>IF(D68="","",IFERROR(IF(OR(INDEX(Appetite!$I$6:$I$17,MATCH(D68,Appetite!$A$6:$A$17,0))="OK",INDEX(Appetite!$I$6:$I$17,MATCH(D68,Appetite!$A$6:$A$17,0))="Review overdue - approved"),INDEX(Appetite!$C$6:$C$17,MATCH(D68,Appetite!$A$6:$A$17,0)),""),""))</f>
        <v/>
      </c>
      <c r="T68" s="37" t="str">
        <f>IF(D68="","",IFERROR(IF(OR(INDEX(Appetite!$I$6:$I$17,MATCH(D68,Appetite!$A$6:$A$17,0))="OK",INDEX(Appetite!$I$6:$I$17,MATCH(D68,Appetite!$A$6:$A$17,0))="Review overdue - approved"),INDEX(Appetite!$D$6:$D$17,MATCH(D68,Appetite!$A$6:$A$17,0)),""),""))</f>
        <v/>
      </c>
      <c r="U68" s="38" t="str">
        <f>IF(A68="","",IF(H68="Invalid inherent ratings","Invalid inherent ratings",IF(O68="","Assessment missing",IF(COUNTIF(Appetite!$A$6:$A$17,D68)=0,"Configuration missing",IF(OR(S68="",T68=""),"Configuration: "&amp;INDEX(Appetite!$I$6:$I$17,MATCH(D68,Appetite!$A$6:$A$17,0)),IF(O68&gt;T68,"Tolerance breach",IF(O68&gt;S68,"Appetite breach","Within appetite")))))))</f>
        <v/>
      </c>
      <c r="V68" s="38" t="str">
        <f>IF(A68="","",IF(COUNTIFS('Risk Acceptance Register'!$B$6:$B$105,A68,'Risk Acceptance Register'!$I$6:$I$105,"Approved")&gt;0,"Yes","No"))</f>
        <v/>
      </c>
      <c r="W68" s="38" t="str">
        <f>IF(V68&lt;&gt;"Yes","",IFERROR(IF(COUNTIFS('Risk Acceptance Register'!$B$6:$B$105,A68,'Risk Acceptance Register'!$T$6:$T$105,"Eligible")&gt;0,LOOKUP(2,1/(('Risk Acceptance Register'!$B$6:$B$105=A68)*('Risk Acceptance Register'!$T$6:$T$105="Eligible")),'Risk Acceptance Register'!$J$6:$J$105),LOOKUP(2,1/(('Risk Acceptance Register'!$B$6:$B$105=A68)*('Risk Acceptance Register'!$I$6:$I$105="Approved")),'Risk Acceptance Register'!$J$6:$J$105))&amp;"",""))</f>
        <v/>
      </c>
      <c r="X68" s="39" t="str">
        <f>IF(V68&lt;&gt;"Yes","",IFERROR(IF(IF(COUNTIFS('Risk Acceptance Register'!$B$6:$B$105,A68,'Risk Acceptance Register'!$T$6:$T$105,"Eligible")&gt;0,LOOKUP(2,1/(('Risk Acceptance Register'!$B$6:$B$105=A68)*('Risk Acceptance Register'!$T$6:$T$105="Eligible")),'Risk Acceptance Register'!$M$6:$M$105),LOOKUP(2,1/(('Risk Acceptance Register'!$B$6:$B$105=A68)*('Risk Acceptance Register'!$I$6:$I$105="Approved")),'Risk Acceptance Register'!$M$6:$M$105))=0,"",IF(COUNTIFS('Risk Acceptance Register'!$B$6:$B$105,A68,'Risk Acceptance Register'!$T$6:$T$105,"Eligible")&gt;0,LOOKUP(2,1/(('Risk Acceptance Register'!$B$6:$B$105=A68)*('Risk Acceptance Register'!$T$6:$T$105="Eligible")),'Risk Acceptance Register'!$M$6:$M$105),LOOKUP(2,1/(('Risk Acceptance Register'!$B$6:$B$105=A68)*('Risk Acceptance Register'!$I$6:$I$105="Approved")),'Risk Acceptance Register'!$M$6:$M$105))),""))</f>
        <v/>
      </c>
      <c r="Y68" s="38" t="str">
        <f>IF(A68="","",IF(U68="Within appetite","Within appetite",IF(AND(U68&lt;&gt;"Appetite breach",U68&lt;&gt;"Tolerance breach"),U68,IF(COUNTIFS('Risk Acceptance Register'!$B$6:$B$105,A68,'Risk Acceptance Register'!$T$6:$T$105,"Eligible")&gt;0,"Breach - formally accepted",IF(V68="Yes",IF(X68="","Accepted - expiry not set",IF(X68&lt;Methodology!$B$4,"Acceptance expired - breach open","Breach - not accepted")),"Breach - not accepted")))))</f>
        <v/>
      </c>
      <c r="Z68" s="40"/>
      <c r="AA68" s="38" t="str">
        <f>IF(OR(A68="",Z68=""),"",IF(Z68&lt;Methodology!$B$4,"Overdue","On schedule"))</f>
        <v/>
      </c>
      <c r="AB68" s="38" t="str">
        <f>IF(OR(U68="",U68="Within appetite"),"",MAX(AB$5:AB67)+1)</f>
        <v/>
      </c>
      <c r="AC68" s="38" t="str">
        <f>IF(A68="","",COUNTIF('Treatment Tracker'!$B$6:$B$105,A68)-COUNTIFS('Treatment Tracker'!$B$6:$B$105,A68,'Treatment Tracker'!$H$6:$H$105,"Completed")-COUNTIFS('Treatment Tracker'!$B$6:$B$105,A68,'Treatment Tracker'!$H$6:$H$105,"Cancelled"))</f>
        <v/>
      </c>
      <c r="AD68" s="38" t="str">
        <f t="shared" si="19"/>
        <v/>
      </c>
      <c r="AE68" s="35"/>
      <c r="AF68" s="35"/>
      <c r="AG68" s="40"/>
      <c r="AH68" s="35"/>
      <c r="AI68" s="38" t="str">
        <f>IF(A68="","",IF(OR(K68="",L68=""),"No assessment",IF(OR(NOT(ISNUMBER(K68)),NOT(ISNUMBER(L68))),"Invalid residual ratings",IF(OR(K68&lt;1,K68&gt;5,L68&lt;1,L68&gt;5,INT(K68)&lt;&gt;K68,INT(L68)&lt;&gt;L68),"Invalid residual ratings",IF(OR(AE68="",AF68="",AG68="",AH68=""),"Incomplete evidence",IF(NOT(ISNUMBER(AG68)),"Invalid assessment date",IF(OR(AG68&gt;Methodology!$B$4,AG68&lt;=0),"Invalid assessment date",IF(AG68+Methodology!$B$3&lt;Methodology!$B$4,"Expired",IF(AL68&lt;&gt;"Approved","Approval not confirmed","Valid")))))))))</f>
        <v/>
      </c>
      <c r="AJ68" s="38" t="str">
        <f>IF(OR(F68="",G68=""),"",MAX(1,ROUND(F68*(1-IFERROR(INDEX(Methodology!$B$41:$B$44,MATCH(J68,Methodology!$A$41:$A$44,0)),0)),0))*G68)</f>
        <v/>
      </c>
      <c r="AK68" s="38" t="str">
        <f t="shared" si="20"/>
        <v/>
      </c>
      <c r="AL68" s="36"/>
    </row>
    <row r="69" spans="1:38" x14ac:dyDescent="0.35">
      <c r="A69" s="35"/>
      <c r="B69" s="24"/>
      <c r="C69" s="24"/>
      <c r="D69" s="35"/>
      <c r="E69" s="35"/>
      <c r="F69" s="36"/>
      <c r="G69" s="36"/>
      <c r="H69" s="37" t="str">
        <f t="shared" si="14"/>
        <v/>
      </c>
      <c r="I69" s="38" t="str">
        <f>IF(NOT(ISNUMBER(H69)),"",INDEX(Methodology!$B$26:$B$29,MATCH(H69,Methodology!$A$26:$A$29,1)))</f>
        <v/>
      </c>
      <c r="J69" s="35"/>
      <c r="K69" s="36"/>
      <c r="L69" s="36"/>
      <c r="M69" s="37" t="str">
        <f t="shared" si="15"/>
        <v/>
      </c>
      <c r="N69" s="37" t="str">
        <f t="shared" si="16"/>
        <v/>
      </c>
      <c r="O69" s="37" t="str">
        <f t="shared" si="17"/>
        <v/>
      </c>
      <c r="P69" s="38" t="str">
        <f>IF(O69="","",INDEX(Methodology!$B$26:$B$29,MATCH(O69,Methodology!$A$26:$A$29,1)))</f>
        <v/>
      </c>
      <c r="Q69" s="36"/>
      <c r="R69" s="37" t="str">
        <f t="shared" si="18"/>
        <v/>
      </c>
      <c r="S69" s="37" t="str">
        <f>IF(D69="","",IFERROR(IF(OR(INDEX(Appetite!$I$6:$I$17,MATCH(D69,Appetite!$A$6:$A$17,0))="OK",INDEX(Appetite!$I$6:$I$17,MATCH(D69,Appetite!$A$6:$A$17,0))="Review overdue - approved"),INDEX(Appetite!$C$6:$C$17,MATCH(D69,Appetite!$A$6:$A$17,0)),""),""))</f>
        <v/>
      </c>
      <c r="T69" s="37" t="str">
        <f>IF(D69="","",IFERROR(IF(OR(INDEX(Appetite!$I$6:$I$17,MATCH(D69,Appetite!$A$6:$A$17,0))="OK",INDEX(Appetite!$I$6:$I$17,MATCH(D69,Appetite!$A$6:$A$17,0))="Review overdue - approved"),INDEX(Appetite!$D$6:$D$17,MATCH(D69,Appetite!$A$6:$A$17,0)),""),""))</f>
        <v/>
      </c>
      <c r="U69" s="38" t="str">
        <f>IF(A69="","",IF(H69="Invalid inherent ratings","Invalid inherent ratings",IF(O69="","Assessment missing",IF(COUNTIF(Appetite!$A$6:$A$17,D69)=0,"Configuration missing",IF(OR(S69="",T69=""),"Configuration: "&amp;INDEX(Appetite!$I$6:$I$17,MATCH(D69,Appetite!$A$6:$A$17,0)),IF(O69&gt;T69,"Tolerance breach",IF(O69&gt;S69,"Appetite breach","Within appetite")))))))</f>
        <v/>
      </c>
      <c r="V69" s="38" t="str">
        <f>IF(A69="","",IF(COUNTIFS('Risk Acceptance Register'!$B$6:$B$105,A69,'Risk Acceptance Register'!$I$6:$I$105,"Approved")&gt;0,"Yes","No"))</f>
        <v/>
      </c>
      <c r="W69" s="38" t="str">
        <f>IF(V69&lt;&gt;"Yes","",IFERROR(IF(COUNTIFS('Risk Acceptance Register'!$B$6:$B$105,A69,'Risk Acceptance Register'!$T$6:$T$105,"Eligible")&gt;0,LOOKUP(2,1/(('Risk Acceptance Register'!$B$6:$B$105=A69)*('Risk Acceptance Register'!$T$6:$T$105="Eligible")),'Risk Acceptance Register'!$J$6:$J$105),LOOKUP(2,1/(('Risk Acceptance Register'!$B$6:$B$105=A69)*('Risk Acceptance Register'!$I$6:$I$105="Approved")),'Risk Acceptance Register'!$J$6:$J$105))&amp;"",""))</f>
        <v/>
      </c>
      <c r="X69" s="39" t="str">
        <f>IF(V69&lt;&gt;"Yes","",IFERROR(IF(IF(COUNTIFS('Risk Acceptance Register'!$B$6:$B$105,A69,'Risk Acceptance Register'!$T$6:$T$105,"Eligible")&gt;0,LOOKUP(2,1/(('Risk Acceptance Register'!$B$6:$B$105=A69)*('Risk Acceptance Register'!$T$6:$T$105="Eligible")),'Risk Acceptance Register'!$M$6:$M$105),LOOKUP(2,1/(('Risk Acceptance Register'!$B$6:$B$105=A69)*('Risk Acceptance Register'!$I$6:$I$105="Approved")),'Risk Acceptance Register'!$M$6:$M$105))=0,"",IF(COUNTIFS('Risk Acceptance Register'!$B$6:$B$105,A69,'Risk Acceptance Register'!$T$6:$T$105,"Eligible")&gt;0,LOOKUP(2,1/(('Risk Acceptance Register'!$B$6:$B$105=A69)*('Risk Acceptance Register'!$T$6:$T$105="Eligible")),'Risk Acceptance Register'!$M$6:$M$105),LOOKUP(2,1/(('Risk Acceptance Register'!$B$6:$B$105=A69)*('Risk Acceptance Register'!$I$6:$I$105="Approved")),'Risk Acceptance Register'!$M$6:$M$105))),""))</f>
        <v/>
      </c>
      <c r="Y69" s="38" t="str">
        <f>IF(A69="","",IF(U69="Within appetite","Within appetite",IF(AND(U69&lt;&gt;"Appetite breach",U69&lt;&gt;"Tolerance breach"),U69,IF(COUNTIFS('Risk Acceptance Register'!$B$6:$B$105,A69,'Risk Acceptance Register'!$T$6:$T$105,"Eligible")&gt;0,"Breach - formally accepted",IF(V69="Yes",IF(X69="","Accepted - expiry not set",IF(X69&lt;Methodology!$B$4,"Acceptance expired - breach open","Breach - not accepted")),"Breach - not accepted")))))</f>
        <v/>
      </c>
      <c r="Z69" s="40"/>
      <c r="AA69" s="38" t="str">
        <f>IF(OR(A69="",Z69=""),"",IF(Z69&lt;Methodology!$B$4,"Overdue","On schedule"))</f>
        <v/>
      </c>
      <c r="AB69" s="38" t="str">
        <f>IF(OR(U69="",U69="Within appetite"),"",MAX(AB$5:AB68)+1)</f>
        <v/>
      </c>
      <c r="AC69" s="38" t="str">
        <f>IF(A69="","",COUNTIF('Treatment Tracker'!$B$6:$B$105,A69)-COUNTIFS('Treatment Tracker'!$B$6:$B$105,A69,'Treatment Tracker'!$H$6:$H$105,"Completed")-COUNTIFS('Treatment Tracker'!$B$6:$B$105,A69,'Treatment Tracker'!$H$6:$H$105,"Cancelled"))</f>
        <v/>
      </c>
      <c r="AD69" s="38" t="str">
        <f t="shared" si="19"/>
        <v/>
      </c>
      <c r="AE69" s="35"/>
      <c r="AF69" s="35"/>
      <c r="AG69" s="40"/>
      <c r="AH69" s="35"/>
      <c r="AI69" s="38" t="str">
        <f>IF(A69="","",IF(OR(K69="",L69=""),"No assessment",IF(OR(NOT(ISNUMBER(K69)),NOT(ISNUMBER(L69))),"Invalid residual ratings",IF(OR(K69&lt;1,K69&gt;5,L69&lt;1,L69&gt;5,INT(K69)&lt;&gt;K69,INT(L69)&lt;&gt;L69),"Invalid residual ratings",IF(OR(AE69="",AF69="",AG69="",AH69=""),"Incomplete evidence",IF(NOT(ISNUMBER(AG69)),"Invalid assessment date",IF(OR(AG69&gt;Methodology!$B$4,AG69&lt;=0),"Invalid assessment date",IF(AG69+Methodology!$B$3&lt;Methodology!$B$4,"Expired",IF(AL69&lt;&gt;"Approved","Approval not confirmed","Valid")))))))))</f>
        <v/>
      </c>
      <c r="AJ69" s="38" t="str">
        <f>IF(OR(F69="",G69=""),"",MAX(1,ROUND(F69*(1-IFERROR(INDEX(Methodology!$B$41:$B$44,MATCH(J69,Methodology!$A$41:$A$44,0)),0)),0))*G69)</f>
        <v/>
      </c>
      <c r="AK69" s="38" t="str">
        <f t="shared" si="20"/>
        <v/>
      </c>
      <c r="AL69" s="36"/>
    </row>
    <row r="70" spans="1:38" x14ac:dyDescent="0.35">
      <c r="A70" s="35"/>
      <c r="B70" s="24"/>
      <c r="C70" s="24"/>
      <c r="D70" s="35"/>
      <c r="E70" s="35"/>
      <c r="F70" s="36"/>
      <c r="G70" s="36"/>
      <c r="H70" s="37" t="str">
        <f t="shared" ref="H70:H101" si="21">IF(A70="","",IF(OR(F70="",G70=""),"",IF(OR(NOT(ISNUMBER(F70)),NOT(ISNUMBER(G70))),"Invalid inherent ratings",IF(OR(F70&lt;1,F70&gt;5,G70&lt;1,G70&gt;5,INT(F70)&lt;&gt;F70,INT(G70)&lt;&gt;G70),"Invalid inherent ratings",F70*G70))))</f>
        <v/>
      </c>
      <c r="I70" s="38" t="str">
        <f>IF(NOT(ISNUMBER(H70)),"",INDEX(Methodology!$B$26:$B$29,MATCH(H70,Methodology!$A$26:$A$29,1)))</f>
        <v/>
      </c>
      <c r="J70" s="35"/>
      <c r="K70" s="36"/>
      <c r="L70" s="36"/>
      <c r="M70" s="37" t="str">
        <f t="shared" ref="M70:M105" si="22">IF(NOT(ISNUMBER(H70)),"",IF(AI70="Valid",K70,F70))</f>
        <v/>
      </c>
      <c r="N70" s="37" t="str">
        <f t="shared" ref="N70:N105" si="23">IF(NOT(ISNUMBER(H70)),"",IF(AI70="Valid",L70,G70))</f>
        <v/>
      </c>
      <c r="O70" s="37" t="str">
        <f t="shared" ref="O70:O101" si="24">IF(OR(M70="",N70=""),"",M70*N70)</f>
        <v/>
      </c>
      <c r="P70" s="38" t="str">
        <f>IF(O70="","",INDEX(Methodology!$B$26:$B$29,MATCH(O70,Methodology!$A$26:$A$29,1)))</f>
        <v/>
      </c>
      <c r="Q70" s="36"/>
      <c r="R70" s="37" t="str">
        <f t="shared" ref="R70:R101" si="25">IF(OR(O70="",Q70=""),"",O70-Q70)</f>
        <v/>
      </c>
      <c r="S70" s="37" t="str">
        <f>IF(D70="","",IFERROR(IF(OR(INDEX(Appetite!$I$6:$I$17,MATCH(D70,Appetite!$A$6:$A$17,0))="OK",INDEX(Appetite!$I$6:$I$17,MATCH(D70,Appetite!$A$6:$A$17,0))="Review overdue - approved"),INDEX(Appetite!$C$6:$C$17,MATCH(D70,Appetite!$A$6:$A$17,0)),""),""))</f>
        <v/>
      </c>
      <c r="T70" s="37" t="str">
        <f>IF(D70="","",IFERROR(IF(OR(INDEX(Appetite!$I$6:$I$17,MATCH(D70,Appetite!$A$6:$A$17,0))="OK",INDEX(Appetite!$I$6:$I$17,MATCH(D70,Appetite!$A$6:$A$17,0))="Review overdue - approved"),INDEX(Appetite!$D$6:$D$17,MATCH(D70,Appetite!$A$6:$A$17,0)),""),""))</f>
        <v/>
      </c>
      <c r="U70" s="38" t="str">
        <f>IF(A70="","",IF(H70="Invalid inherent ratings","Invalid inherent ratings",IF(O70="","Assessment missing",IF(COUNTIF(Appetite!$A$6:$A$17,D70)=0,"Configuration missing",IF(OR(S70="",T70=""),"Configuration: "&amp;INDEX(Appetite!$I$6:$I$17,MATCH(D70,Appetite!$A$6:$A$17,0)),IF(O70&gt;T70,"Tolerance breach",IF(O70&gt;S70,"Appetite breach","Within appetite")))))))</f>
        <v/>
      </c>
      <c r="V70" s="38" t="str">
        <f>IF(A70="","",IF(COUNTIFS('Risk Acceptance Register'!$B$6:$B$105,A70,'Risk Acceptance Register'!$I$6:$I$105,"Approved")&gt;0,"Yes","No"))</f>
        <v/>
      </c>
      <c r="W70" s="38" t="str">
        <f>IF(V70&lt;&gt;"Yes","",IFERROR(IF(COUNTIFS('Risk Acceptance Register'!$B$6:$B$105,A70,'Risk Acceptance Register'!$T$6:$T$105,"Eligible")&gt;0,LOOKUP(2,1/(('Risk Acceptance Register'!$B$6:$B$105=A70)*('Risk Acceptance Register'!$T$6:$T$105="Eligible")),'Risk Acceptance Register'!$J$6:$J$105),LOOKUP(2,1/(('Risk Acceptance Register'!$B$6:$B$105=A70)*('Risk Acceptance Register'!$I$6:$I$105="Approved")),'Risk Acceptance Register'!$J$6:$J$105))&amp;"",""))</f>
        <v/>
      </c>
      <c r="X70" s="39" t="str">
        <f>IF(V70&lt;&gt;"Yes","",IFERROR(IF(IF(COUNTIFS('Risk Acceptance Register'!$B$6:$B$105,A70,'Risk Acceptance Register'!$T$6:$T$105,"Eligible")&gt;0,LOOKUP(2,1/(('Risk Acceptance Register'!$B$6:$B$105=A70)*('Risk Acceptance Register'!$T$6:$T$105="Eligible")),'Risk Acceptance Register'!$M$6:$M$105),LOOKUP(2,1/(('Risk Acceptance Register'!$B$6:$B$105=A70)*('Risk Acceptance Register'!$I$6:$I$105="Approved")),'Risk Acceptance Register'!$M$6:$M$105))=0,"",IF(COUNTIFS('Risk Acceptance Register'!$B$6:$B$105,A70,'Risk Acceptance Register'!$T$6:$T$105,"Eligible")&gt;0,LOOKUP(2,1/(('Risk Acceptance Register'!$B$6:$B$105=A70)*('Risk Acceptance Register'!$T$6:$T$105="Eligible")),'Risk Acceptance Register'!$M$6:$M$105),LOOKUP(2,1/(('Risk Acceptance Register'!$B$6:$B$105=A70)*('Risk Acceptance Register'!$I$6:$I$105="Approved")),'Risk Acceptance Register'!$M$6:$M$105))),""))</f>
        <v/>
      </c>
      <c r="Y70" s="38" t="str">
        <f>IF(A70="","",IF(U70="Within appetite","Within appetite",IF(AND(U70&lt;&gt;"Appetite breach",U70&lt;&gt;"Tolerance breach"),U70,IF(COUNTIFS('Risk Acceptance Register'!$B$6:$B$105,A70,'Risk Acceptance Register'!$T$6:$T$105,"Eligible")&gt;0,"Breach - formally accepted",IF(V70="Yes",IF(X70="","Accepted - expiry not set",IF(X70&lt;Methodology!$B$4,"Acceptance expired - breach open","Breach - not accepted")),"Breach - not accepted")))))</f>
        <v/>
      </c>
      <c r="Z70" s="40"/>
      <c r="AA70" s="38" t="str">
        <f>IF(OR(A70="",Z70=""),"",IF(Z70&lt;Methodology!$B$4,"Overdue","On schedule"))</f>
        <v/>
      </c>
      <c r="AB70" s="38" t="str">
        <f>IF(OR(U70="",U70="Within appetite"),"",MAX(AB$5:AB69)+1)</f>
        <v/>
      </c>
      <c r="AC70" s="38" t="str">
        <f>IF(A70="","",COUNTIF('Treatment Tracker'!$B$6:$B$105,A70)-COUNTIFS('Treatment Tracker'!$B$6:$B$105,A70,'Treatment Tracker'!$H$6:$H$105,"Completed")-COUNTIFS('Treatment Tracker'!$B$6:$B$105,A70,'Treatment Tracker'!$H$6:$H$105,"Cancelled"))</f>
        <v/>
      </c>
      <c r="AD70" s="38" t="str">
        <f t="shared" ref="AD70:AD101" si="26">IF(OR(U70="",U70="Within appetite"),"",IF(AND(AC70=0,Y70&lt;&gt;"Breach - formally accepted"),"Gap",""))</f>
        <v/>
      </c>
      <c r="AE70" s="35"/>
      <c r="AF70" s="35"/>
      <c r="AG70" s="40"/>
      <c r="AH70" s="35"/>
      <c r="AI70" s="38" t="str">
        <f>IF(A70="","",IF(OR(K70="",L70=""),"No assessment",IF(OR(NOT(ISNUMBER(K70)),NOT(ISNUMBER(L70))),"Invalid residual ratings",IF(OR(K70&lt;1,K70&gt;5,L70&lt;1,L70&gt;5,INT(K70)&lt;&gt;K70,INT(L70)&lt;&gt;L70),"Invalid residual ratings",IF(OR(AE70="",AF70="",AG70="",AH70=""),"Incomplete evidence",IF(NOT(ISNUMBER(AG70)),"Invalid assessment date",IF(OR(AG70&gt;Methodology!$B$4,AG70&lt;=0),"Invalid assessment date",IF(AG70+Methodology!$B$3&lt;Methodology!$B$4,"Expired",IF(AL70&lt;&gt;"Approved","Approval not confirmed","Valid")))))))))</f>
        <v/>
      </c>
      <c r="AJ70" s="38" t="str">
        <f>IF(OR(F70="",G70=""),"",MAX(1,ROUND(F70*(1-IFERROR(INDEX(Methodology!$B$41:$B$44,MATCH(J70,Methodology!$A$41:$A$44,0)),0)),0))*G70)</f>
        <v/>
      </c>
      <c r="AK70" s="38" t="str">
        <f t="shared" ref="AK70:AK105" si="27">IF(A70="","",IF(AI70="Valid","Assessed (evidence-supported)","Inherent only (no valid assessment)"))</f>
        <v/>
      </c>
      <c r="AL70" s="36"/>
    </row>
    <row r="71" spans="1:38" x14ac:dyDescent="0.35">
      <c r="A71" s="35"/>
      <c r="B71" s="24"/>
      <c r="C71" s="24"/>
      <c r="D71" s="35"/>
      <c r="E71" s="35"/>
      <c r="F71" s="36"/>
      <c r="G71" s="36"/>
      <c r="H71" s="37" t="str">
        <f t="shared" si="21"/>
        <v/>
      </c>
      <c r="I71" s="38" t="str">
        <f>IF(NOT(ISNUMBER(H71)),"",INDEX(Methodology!$B$26:$B$29,MATCH(H71,Methodology!$A$26:$A$29,1)))</f>
        <v/>
      </c>
      <c r="J71" s="35"/>
      <c r="K71" s="36"/>
      <c r="L71" s="36"/>
      <c r="M71" s="37" t="str">
        <f t="shared" si="22"/>
        <v/>
      </c>
      <c r="N71" s="37" t="str">
        <f t="shared" si="23"/>
        <v/>
      </c>
      <c r="O71" s="37" t="str">
        <f t="shared" si="24"/>
        <v/>
      </c>
      <c r="P71" s="38" t="str">
        <f>IF(O71="","",INDEX(Methodology!$B$26:$B$29,MATCH(O71,Methodology!$A$26:$A$29,1)))</f>
        <v/>
      </c>
      <c r="Q71" s="36"/>
      <c r="R71" s="37" t="str">
        <f t="shared" si="25"/>
        <v/>
      </c>
      <c r="S71" s="37" t="str">
        <f>IF(D71="","",IFERROR(IF(OR(INDEX(Appetite!$I$6:$I$17,MATCH(D71,Appetite!$A$6:$A$17,0))="OK",INDEX(Appetite!$I$6:$I$17,MATCH(D71,Appetite!$A$6:$A$17,0))="Review overdue - approved"),INDEX(Appetite!$C$6:$C$17,MATCH(D71,Appetite!$A$6:$A$17,0)),""),""))</f>
        <v/>
      </c>
      <c r="T71" s="37" t="str">
        <f>IF(D71="","",IFERROR(IF(OR(INDEX(Appetite!$I$6:$I$17,MATCH(D71,Appetite!$A$6:$A$17,0))="OK",INDEX(Appetite!$I$6:$I$17,MATCH(D71,Appetite!$A$6:$A$17,0))="Review overdue - approved"),INDEX(Appetite!$D$6:$D$17,MATCH(D71,Appetite!$A$6:$A$17,0)),""),""))</f>
        <v/>
      </c>
      <c r="U71" s="38" t="str">
        <f>IF(A71="","",IF(H71="Invalid inherent ratings","Invalid inherent ratings",IF(O71="","Assessment missing",IF(COUNTIF(Appetite!$A$6:$A$17,D71)=0,"Configuration missing",IF(OR(S71="",T71=""),"Configuration: "&amp;INDEX(Appetite!$I$6:$I$17,MATCH(D71,Appetite!$A$6:$A$17,0)),IF(O71&gt;T71,"Tolerance breach",IF(O71&gt;S71,"Appetite breach","Within appetite")))))))</f>
        <v/>
      </c>
      <c r="V71" s="38" t="str">
        <f>IF(A71="","",IF(COUNTIFS('Risk Acceptance Register'!$B$6:$B$105,A71,'Risk Acceptance Register'!$I$6:$I$105,"Approved")&gt;0,"Yes","No"))</f>
        <v/>
      </c>
      <c r="W71" s="38" t="str">
        <f>IF(V71&lt;&gt;"Yes","",IFERROR(IF(COUNTIFS('Risk Acceptance Register'!$B$6:$B$105,A71,'Risk Acceptance Register'!$T$6:$T$105,"Eligible")&gt;0,LOOKUP(2,1/(('Risk Acceptance Register'!$B$6:$B$105=A71)*('Risk Acceptance Register'!$T$6:$T$105="Eligible")),'Risk Acceptance Register'!$J$6:$J$105),LOOKUP(2,1/(('Risk Acceptance Register'!$B$6:$B$105=A71)*('Risk Acceptance Register'!$I$6:$I$105="Approved")),'Risk Acceptance Register'!$J$6:$J$105))&amp;"",""))</f>
        <v/>
      </c>
      <c r="X71" s="39" t="str">
        <f>IF(V71&lt;&gt;"Yes","",IFERROR(IF(IF(COUNTIFS('Risk Acceptance Register'!$B$6:$B$105,A71,'Risk Acceptance Register'!$T$6:$T$105,"Eligible")&gt;0,LOOKUP(2,1/(('Risk Acceptance Register'!$B$6:$B$105=A71)*('Risk Acceptance Register'!$T$6:$T$105="Eligible")),'Risk Acceptance Register'!$M$6:$M$105),LOOKUP(2,1/(('Risk Acceptance Register'!$B$6:$B$105=A71)*('Risk Acceptance Register'!$I$6:$I$105="Approved")),'Risk Acceptance Register'!$M$6:$M$105))=0,"",IF(COUNTIFS('Risk Acceptance Register'!$B$6:$B$105,A71,'Risk Acceptance Register'!$T$6:$T$105,"Eligible")&gt;0,LOOKUP(2,1/(('Risk Acceptance Register'!$B$6:$B$105=A71)*('Risk Acceptance Register'!$T$6:$T$105="Eligible")),'Risk Acceptance Register'!$M$6:$M$105),LOOKUP(2,1/(('Risk Acceptance Register'!$B$6:$B$105=A71)*('Risk Acceptance Register'!$I$6:$I$105="Approved")),'Risk Acceptance Register'!$M$6:$M$105))),""))</f>
        <v/>
      </c>
      <c r="Y71" s="38" t="str">
        <f>IF(A71="","",IF(U71="Within appetite","Within appetite",IF(AND(U71&lt;&gt;"Appetite breach",U71&lt;&gt;"Tolerance breach"),U71,IF(COUNTIFS('Risk Acceptance Register'!$B$6:$B$105,A71,'Risk Acceptance Register'!$T$6:$T$105,"Eligible")&gt;0,"Breach - formally accepted",IF(V71="Yes",IF(X71="","Accepted - expiry not set",IF(X71&lt;Methodology!$B$4,"Acceptance expired - breach open","Breach - not accepted")),"Breach - not accepted")))))</f>
        <v/>
      </c>
      <c r="Z71" s="40"/>
      <c r="AA71" s="38" t="str">
        <f>IF(OR(A71="",Z71=""),"",IF(Z71&lt;Methodology!$B$4,"Overdue","On schedule"))</f>
        <v/>
      </c>
      <c r="AB71" s="38" t="str">
        <f>IF(OR(U71="",U71="Within appetite"),"",MAX(AB$5:AB70)+1)</f>
        <v/>
      </c>
      <c r="AC71" s="38" t="str">
        <f>IF(A71="","",COUNTIF('Treatment Tracker'!$B$6:$B$105,A71)-COUNTIFS('Treatment Tracker'!$B$6:$B$105,A71,'Treatment Tracker'!$H$6:$H$105,"Completed")-COUNTIFS('Treatment Tracker'!$B$6:$B$105,A71,'Treatment Tracker'!$H$6:$H$105,"Cancelled"))</f>
        <v/>
      </c>
      <c r="AD71" s="38" t="str">
        <f t="shared" si="26"/>
        <v/>
      </c>
      <c r="AE71" s="35"/>
      <c r="AF71" s="35"/>
      <c r="AG71" s="40"/>
      <c r="AH71" s="35"/>
      <c r="AI71" s="38" t="str">
        <f>IF(A71="","",IF(OR(K71="",L71=""),"No assessment",IF(OR(NOT(ISNUMBER(K71)),NOT(ISNUMBER(L71))),"Invalid residual ratings",IF(OR(K71&lt;1,K71&gt;5,L71&lt;1,L71&gt;5,INT(K71)&lt;&gt;K71,INT(L71)&lt;&gt;L71),"Invalid residual ratings",IF(OR(AE71="",AF71="",AG71="",AH71=""),"Incomplete evidence",IF(NOT(ISNUMBER(AG71)),"Invalid assessment date",IF(OR(AG71&gt;Methodology!$B$4,AG71&lt;=0),"Invalid assessment date",IF(AG71+Methodology!$B$3&lt;Methodology!$B$4,"Expired",IF(AL71&lt;&gt;"Approved","Approval not confirmed","Valid")))))))))</f>
        <v/>
      </c>
      <c r="AJ71" s="38" t="str">
        <f>IF(OR(F71="",G71=""),"",MAX(1,ROUND(F71*(1-IFERROR(INDEX(Methodology!$B$41:$B$44,MATCH(J71,Methodology!$A$41:$A$44,0)),0)),0))*G71)</f>
        <v/>
      </c>
      <c r="AK71" s="38" t="str">
        <f t="shared" si="27"/>
        <v/>
      </c>
      <c r="AL71" s="36"/>
    </row>
    <row r="72" spans="1:38" x14ac:dyDescent="0.35">
      <c r="A72" s="35"/>
      <c r="B72" s="24"/>
      <c r="C72" s="24"/>
      <c r="D72" s="35"/>
      <c r="E72" s="35"/>
      <c r="F72" s="36"/>
      <c r="G72" s="36"/>
      <c r="H72" s="37" t="str">
        <f t="shared" si="21"/>
        <v/>
      </c>
      <c r="I72" s="38" t="str">
        <f>IF(NOT(ISNUMBER(H72)),"",INDEX(Methodology!$B$26:$B$29,MATCH(H72,Methodology!$A$26:$A$29,1)))</f>
        <v/>
      </c>
      <c r="J72" s="35"/>
      <c r="K72" s="36"/>
      <c r="L72" s="36"/>
      <c r="M72" s="37" t="str">
        <f t="shared" si="22"/>
        <v/>
      </c>
      <c r="N72" s="37" t="str">
        <f t="shared" si="23"/>
        <v/>
      </c>
      <c r="O72" s="37" t="str">
        <f t="shared" si="24"/>
        <v/>
      </c>
      <c r="P72" s="38" t="str">
        <f>IF(O72="","",INDEX(Methodology!$B$26:$B$29,MATCH(O72,Methodology!$A$26:$A$29,1)))</f>
        <v/>
      </c>
      <c r="Q72" s="36"/>
      <c r="R72" s="37" t="str">
        <f t="shared" si="25"/>
        <v/>
      </c>
      <c r="S72" s="37" t="str">
        <f>IF(D72="","",IFERROR(IF(OR(INDEX(Appetite!$I$6:$I$17,MATCH(D72,Appetite!$A$6:$A$17,0))="OK",INDEX(Appetite!$I$6:$I$17,MATCH(D72,Appetite!$A$6:$A$17,0))="Review overdue - approved"),INDEX(Appetite!$C$6:$C$17,MATCH(D72,Appetite!$A$6:$A$17,0)),""),""))</f>
        <v/>
      </c>
      <c r="T72" s="37" t="str">
        <f>IF(D72="","",IFERROR(IF(OR(INDEX(Appetite!$I$6:$I$17,MATCH(D72,Appetite!$A$6:$A$17,0))="OK",INDEX(Appetite!$I$6:$I$17,MATCH(D72,Appetite!$A$6:$A$17,0))="Review overdue - approved"),INDEX(Appetite!$D$6:$D$17,MATCH(D72,Appetite!$A$6:$A$17,0)),""),""))</f>
        <v/>
      </c>
      <c r="U72" s="38" t="str">
        <f>IF(A72="","",IF(H72="Invalid inherent ratings","Invalid inherent ratings",IF(O72="","Assessment missing",IF(COUNTIF(Appetite!$A$6:$A$17,D72)=0,"Configuration missing",IF(OR(S72="",T72=""),"Configuration: "&amp;INDEX(Appetite!$I$6:$I$17,MATCH(D72,Appetite!$A$6:$A$17,0)),IF(O72&gt;T72,"Tolerance breach",IF(O72&gt;S72,"Appetite breach","Within appetite")))))))</f>
        <v/>
      </c>
      <c r="V72" s="38" t="str">
        <f>IF(A72="","",IF(COUNTIFS('Risk Acceptance Register'!$B$6:$B$105,A72,'Risk Acceptance Register'!$I$6:$I$105,"Approved")&gt;0,"Yes","No"))</f>
        <v/>
      </c>
      <c r="W72" s="38" t="str">
        <f>IF(V72&lt;&gt;"Yes","",IFERROR(IF(COUNTIFS('Risk Acceptance Register'!$B$6:$B$105,A72,'Risk Acceptance Register'!$T$6:$T$105,"Eligible")&gt;0,LOOKUP(2,1/(('Risk Acceptance Register'!$B$6:$B$105=A72)*('Risk Acceptance Register'!$T$6:$T$105="Eligible")),'Risk Acceptance Register'!$J$6:$J$105),LOOKUP(2,1/(('Risk Acceptance Register'!$B$6:$B$105=A72)*('Risk Acceptance Register'!$I$6:$I$105="Approved")),'Risk Acceptance Register'!$J$6:$J$105))&amp;"",""))</f>
        <v/>
      </c>
      <c r="X72" s="39" t="str">
        <f>IF(V72&lt;&gt;"Yes","",IFERROR(IF(IF(COUNTIFS('Risk Acceptance Register'!$B$6:$B$105,A72,'Risk Acceptance Register'!$T$6:$T$105,"Eligible")&gt;0,LOOKUP(2,1/(('Risk Acceptance Register'!$B$6:$B$105=A72)*('Risk Acceptance Register'!$T$6:$T$105="Eligible")),'Risk Acceptance Register'!$M$6:$M$105),LOOKUP(2,1/(('Risk Acceptance Register'!$B$6:$B$105=A72)*('Risk Acceptance Register'!$I$6:$I$105="Approved")),'Risk Acceptance Register'!$M$6:$M$105))=0,"",IF(COUNTIFS('Risk Acceptance Register'!$B$6:$B$105,A72,'Risk Acceptance Register'!$T$6:$T$105,"Eligible")&gt;0,LOOKUP(2,1/(('Risk Acceptance Register'!$B$6:$B$105=A72)*('Risk Acceptance Register'!$T$6:$T$105="Eligible")),'Risk Acceptance Register'!$M$6:$M$105),LOOKUP(2,1/(('Risk Acceptance Register'!$B$6:$B$105=A72)*('Risk Acceptance Register'!$I$6:$I$105="Approved")),'Risk Acceptance Register'!$M$6:$M$105))),""))</f>
        <v/>
      </c>
      <c r="Y72" s="38" t="str">
        <f>IF(A72="","",IF(U72="Within appetite","Within appetite",IF(AND(U72&lt;&gt;"Appetite breach",U72&lt;&gt;"Tolerance breach"),U72,IF(COUNTIFS('Risk Acceptance Register'!$B$6:$B$105,A72,'Risk Acceptance Register'!$T$6:$T$105,"Eligible")&gt;0,"Breach - formally accepted",IF(V72="Yes",IF(X72="","Accepted - expiry not set",IF(X72&lt;Methodology!$B$4,"Acceptance expired - breach open","Breach - not accepted")),"Breach - not accepted")))))</f>
        <v/>
      </c>
      <c r="Z72" s="40"/>
      <c r="AA72" s="38" t="str">
        <f>IF(OR(A72="",Z72=""),"",IF(Z72&lt;Methodology!$B$4,"Overdue","On schedule"))</f>
        <v/>
      </c>
      <c r="AB72" s="38" t="str">
        <f>IF(OR(U72="",U72="Within appetite"),"",MAX(AB$5:AB71)+1)</f>
        <v/>
      </c>
      <c r="AC72" s="38" t="str">
        <f>IF(A72="","",COUNTIF('Treatment Tracker'!$B$6:$B$105,A72)-COUNTIFS('Treatment Tracker'!$B$6:$B$105,A72,'Treatment Tracker'!$H$6:$H$105,"Completed")-COUNTIFS('Treatment Tracker'!$B$6:$B$105,A72,'Treatment Tracker'!$H$6:$H$105,"Cancelled"))</f>
        <v/>
      </c>
      <c r="AD72" s="38" t="str">
        <f t="shared" si="26"/>
        <v/>
      </c>
      <c r="AE72" s="35"/>
      <c r="AF72" s="35"/>
      <c r="AG72" s="40"/>
      <c r="AH72" s="35"/>
      <c r="AI72" s="38" t="str">
        <f>IF(A72="","",IF(OR(K72="",L72=""),"No assessment",IF(OR(NOT(ISNUMBER(K72)),NOT(ISNUMBER(L72))),"Invalid residual ratings",IF(OR(K72&lt;1,K72&gt;5,L72&lt;1,L72&gt;5,INT(K72)&lt;&gt;K72,INT(L72)&lt;&gt;L72),"Invalid residual ratings",IF(OR(AE72="",AF72="",AG72="",AH72=""),"Incomplete evidence",IF(NOT(ISNUMBER(AG72)),"Invalid assessment date",IF(OR(AG72&gt;Methodology!$B$4,AG72&lt;=0),"Invalid assessment date",IF(AG72+Methodology!$B$3&lt;Methodology!$B$4,"Expired",IF(AL72&lt;&gt;"Approved","Approval not confirmed","Valid")))))))))</f>
        <v/>
      </c>
      <c r="AJ72" s="38" t="str">
        <f>IF(OR(F72="",G72=""),"",MAX(1,ROUND(F72*(1-IFERROR(INDEX(Methodology!$B$41:$B$44,MATCH(J72,Methodology!$A$41:$A$44,0)),0)),0))*G72)</f>
        <v/>
      </c>
      <c r="AK72" s="38" t="str">
        <f t="shared" si="27"/>
        <v/>
      </c>
      <c r="AL72" s="36"/>
    </row>
    <row r="73" spans="1:38" x14ac:dyDescent="0.35">
      <c r="A73" s="35"/>
      <c r="B73" s="24"/>
      <c r="C73" s="24"/>
      <c r="D73" s="35"/>
      <c r="E73" s="35"/>
      <c r="F73" s="36"/>
      <c r="G73" s="36"/>
      <c r="H73" s="37" t="str">
        <f t="shared" si="21"/>
        <v/>
      </c>
      <c r="I73" s="38" t="str">
        <f>IF(NOT(ISNUMBER(H73)),"",INDEX(Methodology!$B$26:$B$29,MATCH(H73,Methodology!$A$26:$A$29,1)))</f>
        <v/>
      </c>
      <c r="J73" s="35"/>
      <c r="K73" s="36"/>
      <c r="L73" s="36"/>
      <c r="M73" s="37" t="str">
        <f t="shared" si="22"/>
        <v/>
      </c>
      <c r="N73" s="37" t="str">
        <f t="shared" si="23"/>
        <v/>
      </c>
      <c r="O73" s="37" t="str">
        <f t="shared" si="24"/>
        <v/>
      </c>
      <c r="P73" s="38" t="str">
        <f>IF(O73="","",INDEX(Methodology!$B$26:$B$29,MATCH(O73,Methodology!$A$26:$A$29,1)))</f>
        <v/>
      </c>
      <c r="Q73" s="36"/>
      <c r="R73" s="37" t="str">
        <f t="shared" si="25"/>
        <v/>
      </c>
      <c r="S73" s="37" t="str">
        <f>IF(D73="","",IFERROR(IF(OR(INDEX(Appetite!$I$6:$I$17,MATCH(D73,Appetite!$A$6:$A$17,0))="OK",INDEX(Appetite!$I$6:$I$17,MATCH(D73,Appetite!$A$6:$A$17,0))="Review overdue - approved"),INDEX(Appetite!$C$6:$C$17,MATCH(D73,Appetite!$A$6:$A$17,0)),""),""))</f>
        <v/>
      </c>
      <c r="T73" s="37" t="str">
        <f>IF(D73="","",IFERROR(IF(OR(INDEX(Appetite!$I$6:$I$17,MATCH(D73,Appetite!$A$6:$A$17,0))="OK",INDEX(Appetite!$I$6:$I$17,MATCH(D73,Appetite!$A$6:$A$17,0))="Review overdue - approved"),INDEX(Appetite!$D$6:$D$17,MATCH(D73,Appetite!$A$6:$A$17,0)),""),""))</f>
        <v/>
      </c>
      <c r="U73" s="38" t="str">
        <f>IF(A73="","",IF(H73="Invalid inherent ratings","Invalid inherent ratings",IF(O73="","Assessment missing",IF(COUNTIF(Appetite!$A$6:$A$17,D73)=0,"Configuration missing",IF(OR(S73="",T73=""),"Configuration: "&amp;INDEX(Appetite!$I$6:$I$17,MATCH(D73,Appetite!$A$6:$A$17,0)),IF(O73&gt;T73,"Tolerance breach",IF(O73&gt;S73,"Appetite breach","Within appetite")))))))</f>
        <v/>
      </c>
      <c r="V73" s="38" t="str">
        <f>IF(A73="","",IF(COUNTIFS('Risk Acceptance Register'!$B$6:$B$105,A73,'Risk Acceptance Register'!$I$6:$I$105,"Approved")&gt;0,"Yes","No"))</f>
        <v/>
      </c>
      <c r="W73" s="38" t="str">
        <f>IF(V73&lt;&gt;"Yes","",IFERROR(IF(COUNTIFS('Risk Acceptance Register'!$B$6:$B$105,A73,'Risk Acceptance Register'!$T$6:$T$105,"Eligible")&gt;0,LOOKUP(2,1/(('Risk Acceptance Register'!$B$6:$B$105=A73)*('Risk Acceptance Register'!$T$6:$T$105="Eligible")),'Risk Acceptance Register'!$J$6:$J$105),LOOKUP(2,1/(('Risk Acceptance Register'!$B$6:$B$105=A73)*('Risk Acceptance Register'!$I$6:$I$105="Approved")),'Risk Acceptance Register'!$J$6:$J$105))&amp;"",""))</f>
        <v/>
      </c>
      <c r="X73" s="39" t="str">
        <f>IF(V73&lt;&gt;"Yes","",IFERROR(IF(IF(COUNTIFS('Risk Acceptance Register'!$B$6:$B$105,A73,'Risk Acceptance Register'!$T$6:$T$105,"Eligible")&gt;0,LOOKUP(2,1/(('Risk Acceptance Register'!$B$6:$B$105=A73)*('Risk Acceptance Register'!$T$6:$T$105="Eligible")),'Risk Acceptance Register'!$M$6:$M$105),LOOKUP(2,1/(('Risk Acceptance Register'!$B$6:$B$105=A73)*('Risk Acceptance Register'!$I$6:$I$105="Approved")),'Risk Acceptance Register'!$M$6:$M$105))=0,"",IF(COUNTIFS('Risk Acceptance Register'!$B$6:$B$105,A73,'Risk Acceptance Register'!$T$6:$T$105,"Eligible")&gt;0,LOOKUP(2,1/(('Risk Acceptance Register'!$B$6:$B$105=A73)*('Risk Acceptance Register'!$T$6:$T$105="Eligible")),'Risk Acceptance Register'!$M$6:$M$105),LOOKUP(2,1/(('Risk Acceptance Register'!$B$6:$B$105=A73)*('Risk Acceptance Register'!$I$6:$I$105="Approved")),'Risk Acceptance Register'!$M$6:$M$105))),""))</f>
        <v/>
      </c>
      <c r="Y73" s="38" t="str">
        <f>IF(A73="","",IF(U73="Within appetite","Within appetite",IF(AND(U73&lt;&gt;"Appetite breach",U73&lt;&gt;"Tolerance breach"),U73,IF(COUNTIFS('Risk Acceptance Register'!$B$6:$B$105,A73,'Risk Acceptance Register'!$T$6:$T$105,"Eligible")&gt;0,"Breach - formally accepted",IF(V73="Yes",IF(X73="","Accepted - expiry not set",IF(X73&lt;Methodology!$B$4,"Acceptance expired - breach open","Breach - not accepted")),"Breach - not accepted")))))</f>
        <v/>
      </c>
      <c r="Z73" s="40"/>
      <c r="AA73" s="38" t="str">
        <f>IF(OR(A73="",Z73=""),"",IF(Z73&lt;Methodology!$B$4,"Overdue","On schedule"))</f>
        <v/>
      </c>
      <c r="AB73" s="38" t="str">
        <f>IF(OR(U73="",U73="Within appetite"),"",MAX(AB$5:AB72)+1)</f>
        <v/>
      </c>
      <c r="AC73" s="38" t="str">
        <f>IF(A73="","",COUNTIF('Treatment Tracker'!$B$6:$B$105,A73)-COUNTIFS('Treatment Tracker'!$B$6:$B$105,A73,'Treatment Tracker'!$H$6:$H$105,"Completed")-COUNTIFS('Treatment Tracker'!$B$6:$B$105,A73,'Treatment Tracker'!$H$6:$H$105,"Cancelled"))</f>
        <v/>
      </c>
      <c r="AD73" s="38" t="str">
        <f t="shared" si="26"/>
        <v/>
      </c>
      <c r="AE73" s="35"/>
      <c r="AF73" s="35"/>
      <c r="AG73" s="40"/>
      <c r="AH73" s="35"/>
      <c r="AI73" s="38" t="str">
        <f>IF(A73="","",IF(OR(K73="",L73=""),"No assessment",IF(OR(NOT(ISNUMBER(K73)),NOT(ISNUMBER(L73))),"Invalid residual ratings",IF(OR(K73&lt;1,K73&gt;5,L73&lt;1,L73&gt;5,INT(K73)&lt;&gt;K73,INT(L73)&lt;&gt;L73),"Invalid residual ratings",IF(OR(AE73="",AF73="",AG73="",AH73=""),"Incomplete evidence",IF(NOT(ISNUMBER(AG73)),"Invalid assessment date",IF(OR(AG73&gt;Methodology!$B$4,AG73&lt;=0),"Invalid assessment date",IF(AG73+Methodology!$B$3&lt;Methodology!$B$4,"Expired",IF(AL73&lt;&gt;"Approved","Approval not confirmed","Valid")))))))))</f>
        <v/>
      </c>
      <c r="AJ73" s="38" t="str">
        <f>IF(OR(F73="",G73=""),"",MAX(1,ROUND(F73*(1-IFERROR(INDEX(Methodology!$B$41:$B$44,MATCH(J73,Methodology!$A$41:$A$44,0)),0)),0))*G73)</f>
        <v/>
      </c>
      <c r="AK73" s="38" t="str">
        <f t="shared" si="27"/>
        <v/>
      </c>
      <c r="AL73" s="36"/>
    </row>
    <row r="74" spans="1:38" x14ac:dyDescent="0.35">
      <c r="A74" s="35"/>
      <c r="B74" s="24"/>
      <c r="C74" s="24"/>
      <c r="D74" s="35"/>
      <c r="E74" s="35"/>
      <c r="F74" s="36"/>
      <c r="G74" s="36"/>
      <c r="H74" s="37" t="str">
        <f t="shared" si="21"/>
        <v/>
      </c>
      <c r="I74" s="38" t="str">
        <f>IF(NOT(ISNUMBER(H74)),"",INDEX(Methodology!$B$26:$B$29,MATCH(H74,Methodology!$A$26:$A$29,1)))</f>
        <v/>
      </c>
      <c r="J74" s="35"/>
      <c r="K74" s="36"/>
      <c r="L74" s="36"/>
      <c r="M74" s="37" t="str">
        <f t="shared" si="22"/>
        <v/>
      </c>
      <c r="N74" s="37" t="str">
        <f t="shared" si="23"/>
        <v/>
      </c>
      <c r="O74" s="37" t="str">
        <f t="shared" si="24"/>
        <v/>
      </c>
      <c r="P74" s="38" t="str">
        <f>IF(O74="","",INDEX(Methodology!$B$26:$B$29,MATCH(O74,Methodology!$A$26:$A$29,1)))</f>
        <v/>
      </c>
      <c r="Q74" s="36"/>
      <c r="R74" s="37" t="str">
        <f t="shared" si="25"/>
        <v/>
      </c>
      <c r="S74" s="37" t="str">
        <f>IF(D74="","",IFERROR(IF(OR(INDEX(Appetite!$I$6:$I$17,MATCH(D74,Appetite!$A$6:$A$17,0))="OK",INDEX(Appetite!$I$6:$I$17,MATCH(D74,Appetite!$A$6:$A$17,0))="Review overdue - approved"),INDEX(Appetite!$C$6:$C$17,MATCH(D74,Appetite!$A$6:$A$17,0)),""),""))</f>
        <v/>
      </c>
      <c r="T74" s="37" t="str">
        <f>IF(D74="","",IFERROR(IF(OR(INDEX(Appetite!$I$6:$I$17,MATCH(D74,Appetite!$A$6:$A$17,0))="OK",INDEX(Appetite!$I$6:$I$17,MATCH(D74,Appetite!$A$6:$A$17,0))="Review overdue - approved"),INDEX(Appetite!$D$6:$D$17,MATCH(D74,Appetite!$A$6:$A$17,0)),""),""))</f>
        <v/>
      </c>
      <c r="U74" s="38" t="str">
        <f>IF(A74="","",IF(H74="Invalid inherent ratings","Invalid inherent ratings",IF(O74="","Assessment missing",IF(COUNTIF(Appetite!$A$6:$A$17,D74)=0,"Configuration missing",IF(OR(S74="",T74=""),"Configuration: "&amp;INDEX(Appetite!$I$6:$I$17,MATCH(D74,Appetite!$A$6:$A$17,0)),IF(O74&gt;T74,"Tolerance breach",IF(O74&gt;S74,"Appetite breach","Within appetite")))))))</f>
        <v/>
      </c>
      <c r="V74" s="38" t="str">
        <f>IF(A74="","",IF(COUNTIFS('Risk Acceptance Register'!$B$6:$B$105,A74,'Risk Acceptance Register'!$I$6:$I$105,"Approved")&gt;0,"Yes","No"))</f>
        <v/>
      </c>
      <c r="W74" s="38" t="str">
        <f>IF(V74&lt;&gt;"Yes","",IFERROR(IF(COUNTIFS('Risk Acceptance Register'!$B$6:$B$105,A74,'Risk Acceptance Register'!$T$6:$T$105,"Eligible")&gt;0,LOOKUP(2,1/(('Risk Acceptance Register'!$B$6:$B$105=A74)*('Risk Acceptance Register'!$T$6:$T$105="Eligible")),'Risk Acceptance Register'!$J$6:$J$105),LOOKUP(2,1/(('Risk Acceptance Register'!$B$6:$B$105=A74)*('Risk Acceptance Register'!$I$6:$I$105="Approved")),'Risk Acceptance Register'!$J$6:$J$105))&amp;"",""))</f>
        <v/>
      </c>
      <c r="X74" s="39" t="str">
        <f>IF(V74&lt;&gt;"Yes","",IFERROR(IF(IF(COUNTIFS('Risk Acceptance Register'!$B$6:$B$105,A74,'Risk Acceptance Register'!$T$6:$T$105,"Eligible")&gt;0,LOOKUP(2,1/(('Risk Acceptance Register'!$B$6:$B$105=A74)*('Risk Acceptance Register'!$T$6:$T$105="Eligible")),'Risk Acceptance Register'!$M$6:$M$105),LOOKUP(2,1/(('Risk Acceptance Register'!$B$6:$B$105=A74)*('Risk Acceptance Register'!$I$6:$I$105="Approved")),'Risk Acceptance Register'!$M$6:$M$105))=0,"",IF(COUNTIFS('Risk Acceptance Register'!$B$6:$B$105,A74,'Risk Acceptance Register'!$T$6:$T$105,"Eligible")&gt;0,LOOKUP(2,1/(('Risk Acceptance Register'!$B$6:$B$105=A74)*('Risk Acceptance Register'!$T$6:$T$105="Eligible")),'Risk Acceptance Register'!$M$6:$M$105),LOOKUP(2,1/(('Risk Acceptance Register'!$B$6:$B$105=A74)*('Risk Acceptance Register'!$I$6:$I$105="Approved")),'Risk Acceptance Register'!$M$6:$M$105))),""))</f>
        <v/>
      </c>
      <c r="Y74" s="38" t="str">
        <f>IF(A74="","",IF(U74="Within appetite","Within appetite",IF(AND(U74&lt;&gt;"Appetite breach",U74&lt;&gt;"Tolerance breach"),U74,IF(COUNTIFS('Risk Acceptance Register'!$B$6:$B$105,A74,'Risk Acceptance Register'!$T$6:$T$105,"Eligible")&gt;0,"Breach - formally accepted",IF(V74="Yes",IF(X74="","Accepted - expiry not set",IF(X74&lt;Methodology!$B$4,"Acceptance expired - breach open","Breach - not accepted")),"Breach - not accepted")))))</f>
        <v/>
      </c>
      <c r="Z74" s="40"/>
      <c r="AA74" s="38" t="str">
        <f>IF(OR(A74="",Z74=""),"",IF(Z74&lt;Methodology!$B$4,"Overdue","On schedule"))</f>
        <v/>
      </c>
      <c r="AB74" s="38" t="str">
        <f>IF(OR(U74="",U74="Within appetite"),"",MAX(AB$5:AB73)+1)</f>
        <v/>
      </c>
      <c r="AC74" s="38" t="str">
        <f>IF(A74="","",COUNTIF('Treatment Tracker'!$B$6:$B$105,A74)-COUNTIFS('Treatment Tracker'!$B$6:$B$105,A74,'Treatment Tracker'!$H$6:$H$105,"Completed")-COUNTIFS('Treatment Tracker'!$B$6:$B$105,A74,'Treatment Tracker'!$H$6:$H$105,"Cancelled"))</f>
        <v/>
      </c>
      <c r="AD74" s="38" t="str">
        <f t="shared" si="26"/>
        <v/>
      </c>
      <c r="AE74" s="35"/>
      <c r="AF74" s="35"/>
      <c r="AG74" s="40"/>
      <c r="AH74" s="35"/>
      <c r="AI74" s="38" t="str">
        <f>IF(A74="","",IF(OR(K74="",L74=""),"No assessment",IF(OR(NOT(ISNUMBER(K74)),NOT(ISNUMBER(L74))),"Invalid residual ratings",IF(OR(K74&lt;1,K74&gt;5,L74&lt;1,L74&gt;5,INT(K74)&lt;&gt;K74,INT(L74)&lt;&gt;L74),"Invalid residual ratings",IF(OR(AE74="",AF74="",AG74="",AH74=""),"Incomplete evidence",IF(NOT(ISNUMBER(AG74)),"Invalid assessment date",IF(OR(AG74&gt;Methodology!$B$4,AG74&lt;=0),"Invalid assessment date",IF(AG74+Methodology!$B$3&lt;Methodology!$B$4,"Expired",IF(AL74&lt;&gt;"Approved","Approval not confirmed","Valid")))))))))</f>
        <v/>
      </c>
      <c r="AJ74" s="38" t="str">
        <f>IF(OR(F74="",G74=""),"",MAX(1,ROUND(F74*(1-IFERROR(INDEX(Methodology!$B$41:$B$44,MATCH(J74,Methodology!$A$41:$A$44,0)),0)),0))*G74)</f>
        <v/>
      </c>
      <c r="AK74" s="38" t="str">
        <f t="shared" si="27"/>
        <v/>
      </c>
      <c r="AL74" s="36"/>
    </row>
    <row r="75" spans="1:38" x14ac:dyDescent="0.35">
      <c r="A75" s="35"/>
      <c r="B75" s="24"/>
      <c r="C75" s="24"/>
      <c r="D75" s="35"/>
      <c r="E75" s="35"/>
      <c r="F75" s="36"/>
      <c r="G75" s="36"/>
      <c r="H75" s="37" t="str">
        <f t="shared" si="21"/>
        <v/>
      </c>
      <c r="I75" s="38" t="str">
        <f>IF(NOT(ISNUMBER(H75)),"",INDEX(Methodology!$B$26:$B$29,MATCH(H75,Methodology!$A$26:$A$29,1)))</f>
        <v/>
      </c>
      <c r="J75" s="35"/>
      <c r="K75" s="36"/>
      <c r="L75" s="36"/>
      <c r="M75" s="37" t="str">
        <f t="shared" si="22"/>
        <v/>
      </c>
      <c r="N75" s="37" t="str">
        <f t="shared" si="23"/>
        <v/>
      </c>
      <c r="O75" s="37" t="str">
        <f t="shared" si="24"/>
        <v/>
      </c>
      <c r="P75" s="38" t="str">
        <f>IF(O75="","",INDEX(Methodology!$B$26:$B$29,MATCH(O75,Methodology!$A$26:$A$29,1)))</f>
        <v/>
      </c>
      <c r="Q75" s="36"/>
      <c r="R75" s="37" t="str">
        <f t="shared" si="25"/>
        <v/>
      </c>
      <c r="S75" s="37" t="str">
        <f>IF(D75="","",IFERROR(IF(OR(INDEX(Appetite!$I$6:$I$17,MATCH(D75,Appetite!$A$6:$A$17,0))="OK",INDEX(Appetite!$I$6:$I$17,MATCH(D75,Appetite!$A$6:$A$17,0))="Review overdue - approved"),INDEX(Appetite!$C$6:$C$17,MATCH(D75,Appetite!$A$6:$A$17,0)),""),""))</f>
        <v/>
      </c>
      <c r="T75" s="37" t="str">
        <f>IF(D75="","",IFERROR(IF(OR(INDEX(Appetite!$I$6:$I$17,MATCH(D75,Appetite!$A$6:$A$17,0))="OK",INDEX(Appetite!$I$6:$I$17,MATCH(D75,Appetite!$A$6:$A$17,0))="Review overdue - approved"),INDEX(Appetite!$D$6:$D$17,MATCH(D75,Appetite!$A$6:$A$17,0)),""),""))</f>
        <v/>
      </c>
      <c r="U75" s="38" t="str">
        <f>IF(A75="","",IF(H75="Invalid inherent ratings","Invalid inherent ratings",IF(O75="","Assessment missing",IF(COUNTIF(Appetite!$A$6:$A$17,D75)=0,"Configuration missing",IF(OR(S75="",T75=""),"Configuration: "&amp;INDEX(Appetite!$I$6:$I$17,MATCH(D75,Appetite!$A$6:$A$17,0)),IF(O75&gt;T75,"Tolerance breach",IF(O75&gt;S75,"Appetite breach","Within appetite")))))))</f>
        <v/>
      </c>
      <c r="V75" s="38" t="str">
        <f>IF(A75="","",IF(COUNTIFS('Risk Acceptance Register'!$B$6:$B$105,A75,'Risk Acceptance Register'!$I$6:$I$105,"Approved")&gt;0,"Yes","No"))</f>
        <v/>
      </c>
      <c r="W75" s="38" t="str">
        <f>IF(V75&lt;&gt;"Yes","",IFERROR(IF(COUNTIFS('Risk Acceptance Register'!$B$6:$B$105,A75,'Risk Acceptance Register'!$T$6:$T$105,"Eligible")&gt;0,LOOKUP(2,1/(('Risk Acceptance Register'!$B$6:$B$105=A75)*('Risk Acceptance Register'!$T$6:$T$105="Eligible")),'Risk Acceptance Register'!$J$6:$J$105),LOOKUP(2,1/(('Risk Acceptance Register'!$B$6:$B$105=A75)*('Risk Acceptance Register'!$I$6:$I$105="Approved")),'Risk Acceptance Register'!$J$6:$J$105))&amp;"",""))</f>
        <v/>
      </c>
      <c r="X75" s="39" t="str">
        <f>IF(V75&lt;&gt;"Yes","",IFERROR(IF(IF(COUNTIFS('Risk Acceptance Register'!$B$6:$B$105,A75,'Risk Acceptance Register'!$T$6:$T$105,"Eligible")&gt;0,LOOKUP(2,1/(('Risk Acceptance Register'!$B$6:$B$105=A75)*('Risk Acceptance Register'!$T$6:$T$105="Eligible")),'Risk Acceptance Register'!$M$6:$M$105),LOOKUP(2,1/(('Risk Acceptance Register'!$B$6:$B$105=A75)*('Risk Acceptance Register'!$I$6:$I$105="Approved")),'Risk Acceptance Register'!$M$6:$M$105))=0,"",IF(COUNTIFS('Risk Acceptance Register'!$B$6:$B$105,A75,'Risk Acceptance Register'!$T$6:$T$105,"Eligible")&gt;0,LOOKUP(2,1/(('Risk Acceptance Register'!$B$6:$B$105=A75)*('Risk Acceptance Register'!$T$6:$T$105="Eligible")),'Risk Acceptance Register'!$M$6:$M$105),LOOKUP(2,1/(('Risk Acceptance Register'!$B$6:$B$105=A75)*('Risk Acceptance Register'!$I$6:$I$105="Approved")),'Risk Acceptance Register'!$M$6:$M$105))),""))</f>
        <v/>
      </c>
      <c r="Y75" s="38" t="str">
        <f>IF(A75="","",IF(U75="Within appetite","Within appetite",IF(AND(U75&lt;&gt;"Appetite breach",U75&lt;&gt;"Tolerance breach"),U75,IF(COUNTIFS('Risk Acceptance Register'!$B$6:$B$105,A75,'Risk Acceptance Register'!$T$6:$T$105,"Eligible")&gt;0,"Breach - formally accepted",IF(V75="Yes",IF(X75="","Accepted - expiry not set",IF(X75&lt;Methodology!$B$4,"Acceptance expired - breach open","Breach - not accepted")),"Breach - not accepted")))))</f>
        <v/>
      </c>
      <c r="Z75" s="40"/>
      <c r="AA75" s="38" t="str">
        <f>IF(OR(A75="",Z75=""),"",IF(Z75&lt;Methodology!$B$4,"Overdue","On schedule"))</f>
        <v/>
      </c>
      <c r="AB75" s="38" t="str">
        <f>IF(OR(U75="",U75="Within appetite"),"",MAX(AB$5:AB74)+1)</f>
        <v/>
      </c>
      <c r="AC75" s="38" t="str">
        <f>IF(A75="","",COUNTIF('Treatment Tracker'!$B$6:$B$105,A75)-COUNTIFS('Treatment Tracker'!$B$6:$B$105,A75,'Treatment Tracker'!$H$6:$H$105,"Completed")-COUNTIFS('Treatment Tracker'!$B$6:$B$105,A75,'Treatment Tracker'!$H$6:$H$105,"Cancelled"))</f>
        <v/>
      </c>
      <c r="AD75" s="38" t="str">
        <f t="shared" si="26"/>
        <v/>
      </c>
      <c r="AE75" s="35"/>
      <c r="AF75" s="35"/>
      <c r="AG75" s="40"/>
      <c r="AH75" s="35"/>
      <c r="AI75" s="38" t="str">
        <f>IF(A75="","",IF(OR(K75="",L75=""),"No assessment",IF(OR(NOT(ISNUMBER(K75)),NOT(ISNUMBER(L75))),"Invalid residual ratings",IF(OR(K75&lt;1,K75&gt;5,L75&lt;1,L75&gt;5,INT(K75)&lt;&gt;K75,INT(L75)&lt;&gt;L75),"Invalid residual ratings",IF(OR(AE75="",AF75="",AG75="",AH75=""),"Incomplete evidence",IF(NOT(ISNUMBER(AG75)),"Invalid assessment date",IF(OR(AG75&gt;Methodology!$B$4,AG75&lt;=0),"Invalid assessment date",IF(AG75+Methodology!$B$3&lt;Methodology!$B$4,"Expired",IF(AL75&lt;&gt;"Approved","Approval not confirmed","Valid")))))))))</f>
        <v/>
      </c>
      <c r="AJ75" s="38" t="str">
        <f>IF(OR(F75="",G75=""),"",MAX(1,ROUND(F75*(1-IFERROR(INDEX(Methodology!$B$41:$B$44,MATCH(J75,Methodology!$A$41:$A$44,0)),0)),0))*G75)</f>
        <v/>
      </c>
      <c r="AK75" s="38" t="str">
        <f t="shared" si="27"/>
        <v/>
      </c>
      <c r="AL75" s="36"/>
    </row>
    <row r="76" spans="1:38" x14ac:dyDescent="0.35">
      <c r="A76" s="35"/>
      <c r="B76" s="24"/>
      <c r="C76" s="24"/>
      <c r="D76" s="35"/>
      <c r="E76" s="35"/>
      <c r="F76" s="36"/>
      <c r="G76" s="36"/>
      <c r="H76" s="37" t="str">
        <f t="shared" si="21"/>
        <v/>
      </c>
      <c r="I76" s="38" t="str">
        <f>IF(NOT(ISNUMBER(H76)),"",INDEX(Methodology!$B$26:$B$29,MATCH(H76,Methodology!$A$26:$A$29,1)))</f>
        <v/>
      </c>
      <c r="J76" s="35"/>
      <c r="K76" s="36"/>
      <c r="L76" s="36"/>
      <c r="M76" s="37" t="str">
        <f t="shared" si="22"/>
        <v/>
      </c>
      <c r="N76" s="37" t="str">
        <f t="shared" si="23"/>
        <v/>
      </c>
      <c r="O76" s="37" t="str">
        <f t="shared" si="24"/>
        <v/>
      </c>
      <c r="P76" s="38" t="str">
        <f>IF(O76="","",INDEX(Methodology!$B$26:$B$29,MATCH(O76,Methodology!$A$26:$A$29,1)))</f>
        <v/>
      </c>
      <c r="Q76" s="36"/>
      <c r="R76" s="37" t="str">
        <f t="shared" si="25"/>
        <v/>
      </c>
      <c r="S76" s="37" t="str">
        <f>IF(D76="","",IFERROR(IF(OR(INDEX(Appetite!$I$6:$I$17,MATCH(D76,Appetite!$A$6:$A$17,0))="OK",INDEX(Appetite!$I$6:$I$17,MATCH(D76,Appetite!$A$6:$A$17,0))="Review overdue - approved"),INDEX(Appetite!$C$6:$C$17,MATCH(D76,Appetite!$A$6:$A$17,0)),""),""))</f>
        <v/>
      </c>
      <c r="T76" s="37" t="str">
        <f>IF(D76="","",IFERROR(IF(OR(INDEX(Appetite!$I$6:$I$17,MATCH(D76,Appetite!$A$6:$A$17,0))="OK",INDEX(Appetite!$I$6:$I$17,MATCH(D76,Appetite!$A$6:$A$17,0))="Review overdue - approved"),INDEX(Appetite!$D$6:$D$17,MATCH(D76,Appetite!$A$6:$A$17,0)),""),""))</f>
        <v/>
      </c>
      <c r="U76" s="38" t="str">
        <f>IF(A76="","",IF(H76="Invalid inherent ratings","Invalid inherent ratings",IF(O76="","Assessment missing",IF(COUNTIF(Appetite!$A$6:$A$17,D76)=0,"Configuration missing",IF(OR(S76="",T76=""),"Configuration: "&amp;INDEX(Appetite!$I$6:$I$17,MATCH(D76,Appetite!$A$6:$A$17,0)),IF(O76&gt;T76,"Tolerance breach",IF(O76&gt;S76,"Appetite breach","Within appetite")))))))</f>
        <v/>
      </c>
      <c r="V76" s="38" t="str">
        <f>IF(A76="","",IF(COUNTIFS('Risk Acceptance Register'!$B$6:$B$105,A76,'Risk Acceptance Register'!$I$6:$I$105,"Approved")&gt;0,"Yes","No"))</f>
        <v/>
      </c>
      <c r="W76" s="38" t="str">
        <f>IF(V76&lt;&gt;"Yes","",IFERROR(IF(COUNTIFS('Risk Acceptance Register'!$B$6:$B$105,A76,'Risk Acceptance Register'!$T$6:$T$105,"Eligible")&gt;0,LOOKUP(2,1/(('Risk Acceptance Register'!$B$6:$B$105=A76)*('Risk Acceptance Register'!$T$6:$T$105="Eligible")),'Risk Acceptance Register'!$J$6:$J$105),LOOKUP(2,1/(('Risk Acceptance Register'!$B$6:$B$105=A76)*('Risk Acceptance Register'!$I$6:$I$105="Approved")),'Risk Acceptance Register'!$J$6:$J$105))&amp;"",""))</f>
        <v/>
      </c>
      <c r="X76" s="39" t="str">
        <f>IF(V76&lt;&gt;"Yes","",IFERROR(IF(IF(COUNTIFS('Risk Acceptance Register'!$B$6:$B$105,A76,'Risk Acceptance Register'!$T$6:$T$105,"Eligible")&gt;0,LOOKUP(2,1/(('Risk Acceptance Register'!$B$6:$B$105=A76)*('Risk Acceptance Register'!$T$6:$T$105="Eligible")),'Risk Acceptance Register'!$M$6:$M$105),LOOKUP(2,1/(('Risk Acceptance Register'!$B$6:$B$105=A76)*('Risk Acceptance Register'!$I$6:$I$105="Approved")),'Risk Acceptance Register'!$M$6:$M$105))=0,"",IF(COUNTIFS('Risk Acceptance Register'!$B$6:$B$105,A76,'Risk Acceptance Register'!$T$6:$T$105,"Eligible")&gt;0,LOOKUP(2,1/(('Risk Acceptance Register'!$B$6:$B$105=A76)*('Risk Acceptance Register'!$T$6:$T$105="Eligible")),'Risk Acceptance Register'!$M$6:$M$105),LOOKUP(2,1/(('Risk Acceptance Register'!$B$6:$B$105=A76)*('Risk Acceptance Register'!$I$6:$I$105="Approved")),'Risk Acceptance Register'!$M$6:$M$105))),""))</f>
        <v/>
      </c>
      <c r="Y76" s="38" t="str">
        <f>IF(A76="","",IF(U76="Within appetite","Within appetite",IF(AND(U76&lt;&gt;"Appetite breach",U76&lt;&gt;"Tolerance breach"),U76,IF(COUNTIFS('Risk Acceptance Register'!$B$6:$B$105,A76,'Risk Acceptance Register'!$T$6:$T$105,"Eligible")&gt;0,"Breach - formally accepted",IF(V76="Yes",IF(X76="","Accepted - expiry not set",IF(X76&lt;Methodology!$B$4,"Acceptance expired - breach open","Breach - not accepted")),"Breach - not accepted")))))</f>
        <v/>
      </c>
      <c r="Z76" s="40"/>
      <c r="AA76" s="38" t="str">
        <f>IF(OR(A76="",Z76=""),"",IF(Z76&lt;Methodology!$B$4,"Overdue","On schedule"))</f>
        <v/>
      </c>
      <c r="AB76" s="38" t="str">
        <f>IF(OR(U76="",U76="Within appetite"),"",MAX(AB$5:AB75)+1)</f>
        <v/>
      </c>
      <c r="AC76" s="38" t="str">
        <f>IF(A76="","",COUNTIF('Treatment Tracker'!$B$6:$B$105,A76)-COUNTIFS('Treatment Tracker'!$B$6:$B$105,A76,'Treatment Tracker'!$H$6:$H$105,"Completed")-COUNTIFS('Treatment Tracker'!$B$6:$B$105,A76,'Treatment Tracker'!$H$6:$H$105,"Cancelled"))</f>
        <v/>
      </c>
      <c r="AD76" s="38" t="str">
        <f t="shared" si="26"/>
        <v/>
      </c>
      <c r="AE76" s="35"/>
      <c r="AF76" s="35"/>
      <c r="AG76" s="40"/>
      <c r="AH76" s="35"/>
      <c r="AI76" s="38" t="str">
        <f>IF(A76="","",IF(OR(K76="",L76=""),"No assessment",IF(OR(NOT(ISNUMBER(K76)),NOT(ISNUMBER(L76))),"Invalid residual ratings",IF(OR(K76&lt;1,K76&gt;5,L76&lt;1,L76&gt;5,INT(K76)&lt;&gt;K76,INT(L76)&lt;&gt;L76),"Invalid residual ratings",IF(OR(AE76="",AF76="",AG76="",AH76=""),"Incomplete evidence",IF(NOT(ISNUMBER(AG76)),"Invalid assessment date",IF(OR(AG76&gt;Methodology!$B$4,AG76&lt;=0),"Invalid assessment date",IF(AG76+Methodology!$B$3&lt;Methodology!$B$4,"Expired",IF(AL76&lt;&gt;"Approved","Approval not confirmed","Valid")))))))))</f>
        <v/>
      </c>
      <c r="AJ76" s="38" t="str">
        <f>IF(OR(F76="",G76=""),"",MAX(1,ROUND(F76*(1-IFERROR(INDEX(Methodology!$B$41:$B$44,MATCH(J76,Methodology!$A$41:$A$44,0)),0)),0))*G76)</f>
        <v/>
      </c>
      <c r="AK76" s="38" t="str">
        <f t="shared" si="27"/>
        <v/>
      </c>
      <c r="AL76" s="36"/>
    </row>
    <row r="77" spans="1:38" x14ac:dyDescent="0.35">
      <c r="A77" s="35"/>
      <c r="B77" s="24"/>
      <c r="C77" s="24"/>
      <c r="D77" s="35"/>
      <c r="E77" s="35"/>
      <c r="F77" s="36"/>
      <c r="G77" s="36"/>
      <c r="H77" s="37" t="str">
        <f t="shared" si="21"/>
        <v/>
      </c>
      <c r="I77" s="38" t="str">
        <f>IF(NOT(ISNUMBER(H77)),"",INDEX(Methodology!$B$26:$B$29,MATCH(H77,Methodology!$A$26:$A$29,1)))</f>
        <v/>
      </c>
      <c r="J77" s="35"/>
      <c r="K77" s="36"/>
      <c r="L77" s="36"/>
      <c r="M77" s="37" t="str">
        <f t="shared" si="22"/>
        <v/>
      </c>
      <c r="N77" s="37" t="str">
        <f t="shared" si="23"/>
        <v/>
      </c>
      <c r="O77" s="37" t="str">
        <f t="shared" si="24"/>
        <v/>
      </c>
      <c r="P77" s="38" t="str">
        <f>IF(O77="","",INDEX(Methodology!$B$26:$B$29,MATCH(O77,Methodology!$A$26:$A$29,1)))</f>
        <v/>
      </c>
      <c r="Q77" s="36"/>
      <c r="R77" s="37" t="str">
        <f t="shared" si="25"/>
        <v/>
      </c>
      <c r="S77" s="37" t="str">
        <f>IF(D77="","",IFERROR(IF(OR(INDEX(Appetite!$I$6:$I$17,MATCH(D77,Appetite!$A$6:$A$17,0))="OK",INDEX(Appetite!$I$6:$I$17,MATCH(D77,Appetite!$A$6:$A$17,0))="Review overdue - approved"),INDEX(Appetite!$C$6:$C$17,MATCH(D77,Appetite!$A$6:$A$17,0)),""),""))</f>
        <v/>
      </c>
      <c r="T77" s="37" t="str">
        <f>IF(D77="","",IFERROR(IF(OR(INDEX(Appetite!$I$6:$I$17,MATCH(D77,Appetite!$A$6:$A$17,0))="OK",INDEX(Appetite!$I$6:$I$17,MATCH(D77,Appetite!$A$6:$A$17,0))="Review overdue - approved"),INDEX(Appetite!$D$6:$D$17,MATCH(D77,Appetite!$A$6:$A$17,0)),""),""))</f>
        <v/>
      </c>
      <c r="U77" s="38" t="str">
        <f>IF(A77="","",IF(H77="Invalid inherent ratings","Invalid inherent ratings",IF(O77="","Assessment missing",IF(COUNTIF(Appetite!$A$6:$A$17,D77)=0,"Configuration missing",IF(OR(S77="",T77=""),"Configuration: "&amp;INDEX(Appetite!$I$6:$I$17,MATCH(D77,Appetite!$A$6:$A$17,0)),IF(O77&gt;T77,"Tolerance breach",IF(O77&gt;S77,"Appetite breach","Within appetite")))))))</f>
        <v/>
      </c>
      <c r="V77" s="38" t="str">
        <f>IF(A77="","",IF(COUNTIFS('Risk Acceptance Register'!$B$6:$B$105,A77,'Risk Acceptance Register'!$I$6:$I$105,"Approved")&gt;0,"Yes","No"))</f>
        <v/>
      </c>
      <c r="W77" s="38" t="str">
        <f>IF(V77&lt;&gt;"Yes","",IFERROR(IF(COUNTIFS('Risk Acceptance Register'!$B$6:$B$105,A77,'Risk Acceptance Register'!$T$6:$T$105,"Eligible")&gt;0,LOOKUP(2,1/(('Risk Acceptance Register'!$B$6:$B$105=A77)*('Risk Acceptance Register'!$T$6:$T$105="Eligible")),'Risk Acceptance Register'!$J$6:$J$105),LOOKUP(2,1/(('Risk Acceptance Register'!$B$6:$B$105=A77)*('Risk Acceptance Register'!$I$6:$I$105="Approved")),'Risk Acceptance Register'!$J$6:$J$105))&amp;"",""))</f>
        <v/>
      </c>
      <c r="X77" s="39" t="str">
        <f>IF(V77&lt;&gt;"Yes","",IFERROR(IF(IF(COUNTIFS('Risk Acceptance Register'!$B$6:$B$105,A77,'Risk Acceptance Register'!$T$6:$T$105,"Eligible")&gt;0,LOOKUP(2,1/(('Risk Acceptance Register'!$B$6:$B$105=A77)*('Risk Acceptance Register'!$T$6:$T$105="Eligible")),'Risk Acceptance Register'!$M$6:$M$105),LOOKUP(2,1/(('Risk Acceptance Register'!$B$6:$B$105=A77)*('Risk Acceptance Register'!$I$6:$I$105="Approved")),'Risk Acceptance Register'!$M$6:$M$105))=0,"",IF(COUNTIFS('Risk Acceptance Register'!$B$6:$B$105,A77,'Risk Acceptance Register'!$T$6:$T$105,"Eligible")&gt;0,LOOKUP(2,1/(('Risk Acceptance Register'!$B$6:$B$105=A77)*('Risk Acceptance Register'!$T$6:$T$105="Eligible")),'Risk Acceptance Register'!$M$6:$M$105),LOOKUP(2,1/(('Risk Acceptance Register'!$B$6:$B$105=A77)*('Risk Acceptance Register'!$I$6:$I$105="Approved")),'Risk Acceptance Register'!$M$6:$M$105))),""))</f>
        <v/>
      </c>
      <c r="Y77" s="38" t="str">
        <f>IF(A77="","",IF(U77="Within appetite","Within appetite",IF(AND(U77&lt;&gt;"Appetite breach",U77&lt;&gt;"Tolerance breach"),U77,IF(COUNTIFS('Risk Acceptance Register'!$B$6:$B$105,A77,'Risk Acceptance Register'!$T$6:$T$105,"Eligible")&gt;0,"Breach - formally accepted",IF(V77="Yes",IF(X77="","Accepted - expiry not set",IF(X77&lt;Methodology!$B$4,"Acceptance expired - breach open","Breach - not accepted")),"Breach - not accepted")))))</f>
        <v/>
      </c>
      <c r="Z77" s="40"/>
      <c r="AA77" s="38" t="str">
        <f>IF(OR(A77="",Z77=""),"",IF(Z77&lt;Methodology!$B$4,"Overdue","On schedule"))</f>
        <v/>
      </c>
      <c r="AB77" s="38" t="str">
        <f>IF(OR(U77="",U77="Within appetite"),"",MAX(AB$5:AB76)+1)</f>
        <v/>
      </c>
      <c r="AC77" s="38" t="str">
        <f>IF(A77="","",COUNTIF('Treatment Tracker'!$B$6:$B$105,A77)-COUNTIFS('Treatment Tracker'!$B$6:$B$105,A77,'Treatment Tracker'!$H$6:$H$105,"Completed")-COUNTIFS('Treatment Tracker'!$B$6:$B$105,A77,'Treatment Tracker'!$H$6:$H$105,"Cancelled"))</f>
        <v/>
      </c>
      <c r="AD77" s="38" t="str">
        <f t="shared" si="26"/>
        <v/>
      </c>
      <c r="AE77" s="35"/>
      <c r="AF77" s="35"/>
      <c r="AG77" s="40"/>
      <c r="AH77" s="35"/>
      <c r="AI77" s="38" t="str">
        <f>IF(A77="","",IF(OR(K77="",L77=""),"No assessment",IF(OR(NOT(ISNUMBER(K77)),NOT(ISNUMBER(L77))),"Invalid residual ratings",IF(OR(K77&lt;1,K77&gt;5,L77&lt;1,L77&gt;5,INT(K77)&lt;&gt;K77,INT(L77)&lt;&gt;L77),"Invalid residual ratings",IF(OR(AE77="",AF77="",AG77="",AH77=""),"Incomplete evidence",IF(NOT(ISNUMBER(AG77)),"Invalid assessment date",IF(OR(AG77&gt;Methodology!$B$4,AG77&lt;=0),"Invalid assessment date",IF(AG77+Methodology!$B$3&lt;Methodology!$B$4,"Expired",IF(AL77&lt;&gt;"Approved","Approval not confirmed","Valid")))))))))</f>
        <v/>
      </c>
      <c r="AJ77" s="38" t="str">
        <f>IF(OR(F77="",G77=""),"",MAX(1,ROUND(F77*(1-IFERROR(INDEX(Methodology!$B$41:$B$44,MATCH(J77,Methodology!$A$41:$A$44,0)),0)),0))*G77)</f>
        <v/>
      </c>
      <c r="AK77" s="38" t="str">
        <f t="shared" si="27"/>
        <v/>
      </c>
      <c r="AL77" s="36"/>
    </row>
    <row r="78" spans="1:38" x14ac:dyDescent="0.35">
      <c r="A78" s="35"/>
      <c r="B78" s="24"/>
      <c r="C78" s="24"/>
      <c r="D78" s="35"/>
      <c r="E78" s="35"/>
      <c r="F78" s="36"/>
      <c r="G78" s="36"/>
      <c r="H78" s="37" t="str">
        <f t="shared" si="21"/>
        <v/>
      </c>
      <c r="I78" s="38" t="str">
        <f>IF(NOT(ISNUMBER(H78)),"",INDEX(Methodology!$B$26:$B$29,MATCH(H78,Methodology!$A$26:$A$29,1)))</f>
        <v/>
      </c>
      <c r="J78" s="35"/>
      <c r="K78" s="36"/>
      <c r="L78" s="36"/>
      <c r="M78" s="37" t="str">
        <f t="shared" si="22"/>
        <v/>
      </c>
      <c r="N78" s="37" t="str">
        <f t="shared" si="23"/>
        <v/>
      </c>
      <c r="O78" s="37" t="str">
        <f t="shared" si="24"/>
        <v/>
      </c>
      <c r="P78" s="38" t="str">
        <f>IF(O78="","",INDEX(Methodology!$B$26:$B$29,MATCH(O78,Methodology!$A$26:$A$29,1)))</f>
        <v/>
      </c>
      <c r="Q78" s="36"/>
      <c r="R78" s="37" t="str">
        <f t="shared" si="25"/>
        <v/>
      </c>
      <c r="S78" s="37" t="str">
        <f>IF(D78="","",IFERROR(IF(OR(INDEX(Appetite!$I$6:$I$17,MATCH(D78,Appetite!$A$6:$A$17,0))="OK",INDEX(Appetite!$I$6:$I$17,MATCH(D78,Appetite!$A$6:$A$17,0))="Review overdue - approved"),INDEX(Appetite!$C$6:$C$17,MATCH(D78,Appetite!$A$6:$A$17,0)),""),""))</f>
        <v/>
      </c>
      <c r="T78" s="37" t="str">
        <f>IF(D78="","",IFERROR(IF(OR(INDEX(Appetite!$I$6:$I$17,MATCH(D78,Appetite!$A$6:$A$17,0))="OK",INDEX(Appetite!$I$6:$I$17,MATCH(D78,Appetite!$A$6:$A$17,0))="Review overdue - approved"),INDEX(Appetite!$D$6:$D$17,MATCH(D78,Appetite!$A$6:$A$17,0)),""),""))</f>
        <v/>
      </c>
      <c r="U78" s="38" t="str">
        <f>IF(A78="","",IF(H78="Invalid inherent ratings","Invalid inherent ratings",IF(O78="","Assessment missing",IF(COUNTIF(Appetite!$A$6:$A$17,D78)=0,"Configuration missing",IF(OR(S78="",T78=""),"Configuration: "&amp;INDEX(Appetite!$I$6:$I$17,MATCH(D78,Appetite!$A$6:$A$17,0)),IF(O78&gt;T78,"Tolerance breach",IF(O78&gt;S78,"Appetite breach","Within appetite")))))))</f>
        <v/>
      </c>
      <c r="V78" s="38" t="str">
        <f>IF(A78="","",IF(COUNTIFS('Risk Acceptance Register'!$B$6:$B$105,A78,'Risk Acceptance Register'!$I$6:$I$105,"Approved")&gt;0,"Yes","No"))</f>
        <v/>
      </c>
      <c r="W78" s="38" t="str">
        <f>IF(V78&lt;&gt;"Yes","",IFERROR(IF(COUNTIFS('Risk Acceptance Register'!$B$6:$B$105,A78,'Risk Acceptance Register'!$T$6:$T$105,"Eligible")&gt;0,LOOKUP(2,1/(('Risk Acceptance Register'!$B$6:$B$105=A78)*('Risk Acceptance Register'!$T$6:$T$105="Eligible")),'Risk Acceptance Register'!$J$6:$J$105),LOOKUP(2,1/(('Risk Acceptance Register'!$B$6:$B$105=A78)*('Risk Acceptance Register'!$I$6:$I$105="Approved")),'Risk Acceptance Register'!$J$6:$J$105))&amp;"",""))</f>
        <v/>
      </c>
      <c r="X78" s="39" t="str">
        <f>IF(V78&lt;&gt;"Yes","",IFERROR(IF(IF(COUNTIFS('Risk Acceptance Register'!$B$6:$B$105,A78,'Risk Acceptance Register'!$T$6:$T$105,"Eligible")&gt;0,LOOKUP(2,1/(('Risk Acceptance Register'!$B$6:$B$105=A78)*('Risk Acceptance Register'!$T$6:$T$105="Eligible")),'Risk Acceptance Register'!$M$6:$M$105),LOOKUP(2,1/(('Risk Acceptance Register'!$B$6:$B$105=A78)*('Risk Acceptance Register'!$I$6:$I$105="Approved")),'Risk Acceptance Register'!$M$6:$M$105))=0,"",IF(COUNTIFS('Risk Acceptance Register'!$B$6:$B$105,A78,'Risk Acceptance Register'!$T$6:$T$105,"Eligible")&gt;0,LOOKUP(2,1/(('Risk Acceptance Register'!$B$6:$B$105=A78)*('Risk Acceptance Register'!$T$6:$T$105="Eligible")),'Risk Acceptance Register'!$M$6:$M$105),LOOKUP(2,1/(('Risk Acceptance Register'!$B$6:$B$105=A78)*('Risk Acceptance Register'!$I$6:$I$105="Approved")),'Risk Acceptance Register'!$M$6:$M$105))),""))</f>
        <v/>
      </c>
      <c r="Y78" s="38" t="str">
        <f>IF(A78="","",IF(U78="Within appetite","Within appetite",IF(AND(U78&lt;&gt;"Appetite breach",U78&lt;&gt;"Tolerance breach"),U78,IF(COUNTIFS('Risk Acceptance Register'!$B$6:$B$105,A78,'Risk Acceptance Register'!$T$6:$T$105,"Eligible")&gt;0,"Breach - formally accepted",IF(V78="Yes",IF(X78="","Accepted - expiry not set",IF(X78&lt;Methodology!$B$4,"Acceptance expired - breach open","Breach - not accepted")),"Breach - not accepted")))))</f>
        <v/>
      </c>
      <c r="Z78" s="40"/>
      <c r="AA78" s="38" t="str">
        <f>IF(OR(A78="",Z78=""),"",IF(Z78&lt;Methodology!$B$4,"Overdue","On schedule"))</f>
        <v/>
      </c>
      <c r="AB78" s="38" t="str">
        <f>IF(OR(U78="",U78="Within appetite"),"",MAX(AB$5:AB77)+1)</f>
        <v/>
      </c>
      <c r="AC78" s="38" t="str">
        <f>IF(A78="","",COUNTIF('Treatment Tracker'!$B$6:$B$105,A78)-COUNTIFS('Treatment Tracker'!$B$6:$B$105,A78,'Treatment Tracker'!$H$6:$H$105,"Completed")-COUNTIFS('Treatment Tracker'!$B$6:$B$105,A78,'Treatment Tracker'!$H$6:$H$105,"Cancelled"))</f>
        <v/>
      </c>
      <c r="AD78" s="38" t="str">
        <f t="shared" si="26"/>
        <v/>
      </c>
      <c r="AE78" s="35"/>
      <c r="AF78" s="35"/>
      <c r="AG78" s="40"/>
      <c r="AH78" s="35"/>
      <c r="AI78" s="38" t="str">
        <f>IF(A78="","",IF(OR(K78="",L78=""),"No assessment",IF(OR(NOT(ISNUMBER(K78)),NOT(ISNUMBER(L78))),"Invalid residual ratings",IF(OR(K78&lt;1,K78&gt;5,L78&lt;1,L78&gt;5,INT(K78)&lt;&gt;K78,INT(L78)&lt;&gt;L78),"Invalid residual ratings",IF(OR(AE78="",AF78="",AG78="",AH78=""),"Incomplete evidence",IF(NOT(ISNUMBER(AG78)),"Invalid assessment date",IF(OR(AG78&gt;Methodology!$B$4,AG78&lt;=0),"Invalid assessment date",IF(AG78+Methodology!$B$3&lt;Methodology!$B$4,"Expired",IF(AL78&lt;&gt;"Approved","Approval not confirmed","Valid")))))))))</f>
        <v/>
      </c>
      <c r="AJ78" s="38" t="str">
        <f>IF(OR(F78="",G78=""),"",MAX(1,ROUND(F78*(1-IFERROR(INDEX(Methodology!$B$41:$B$44,MATCH(J78,Methodology!$A$41:$A$44,0)),0)),0))*G78)</f>
        <v/>
      </c>
      <c r="AK78" s="38" t="str">
        <f t="shared" si="27"/>
        <v/>
      </c>
      <c r="AL78" s="36"/>
    </row>
    <row r="79" spans="1:38" x14ac:dyDescent="0.35">
      <c r="A79" s="35"/>
      <c r="B79" s="24"/>
      <c r="C79" s="24"/>
      <c r="D79" s="35"/>
      <c r="E79" s="35"/>
      <c r="F79" s="36"/>
      <c r="G79" s="36"/>
      <c r="H79" s="37" t="str">
        <f t="shared" si="21"/>
        <v/>
      </c>
      <c r="I79" s="38" t="str">
        <f>IF(NOT(ISNUMBER(H79)),"",INDEX(Methodology!$B$26:$B$29,MATCH(H79,Methodology!$A$26:$A$29,1)))</f>
        <v/>
      </c>
      <c r="J79" s="35"/>
      <c r="K79" s="36"/>
      <c r="L79" s="36"/>
      <c r="M79" s="37" t="str">
        <f t="shared" si="22"/>
        <v/>
      </c>
      <c r="N79" s="37" t="str">
        <f t="shared" si="23"/>
        <v/>
      </c>
      <c r="O79" s="37" t="str">
        <f t="shared" si="24"/>
        <v/>
      </c>
      <c r="P79" s="38" t="str">
        <f>IF(O79="","",INDEX(Methodology!$B$26:$B$29,MATCH(O79,Methodology!$A$26:$A$29,1)))</f>
        <v/>
      </c>
      <c r="Q79" s="36"/>
      <c r="R79" s="37" t="str">
        <f t="shared" si="25"/>
        <v/>
      </c>
      <c r="S79" s="37" t="str">
        <f>IF(D79="","",IFERROR(IF(OR(INDEX(Appetite!$I$6:$I$17,MATCH(D79,Appetite!$A$6:$A$17,0))="OK",INDEX(Appetite!$I$6:$I$17,MATCH(D79,Appetite!$A$6:$A$17,0))="Review overdue - approved"),INDEX(Appetite!$C$6:$C$17,MATCH(D79,Appetite!$A$6:$A$17,0)),""),""))</f>
        <v/>
      </c>
      <c r="T79" s="37" t="str">
        <f>IF(D79="","",IFERROR(IF(OR(INDEX(Appetite!$I$6:$I$17,MATCH(D79,Appetite!$A$6:$A$17,0))="OK",INDEX(Appetite!$I$6:$I$17,MATCH(D79,Appetite!$A$6:$A$17,0))="Review overdue - approved"),INDEX(Appetite!$D$6:$D$17,MATCH(D79,Appetite!$A$6:$A$17,0)),""),""))</f>
        <v/>
      </c>
      <c r="U79" s="38" t="str">
        <f>IF(A79="","",IF(H79="Invalid inherent ratings","Invalid inherent ratings",IF(O79="","Assessment missing",IF(COUNTIF(Appetite!$A$6:$A$17,D79)=0,"Configuration missing",IF(OR(S79="",T79=""),"Configuration: "&amp;INDEX(Appetite!$I$6:$I$17,MATCH(D79,Appetite!$A$6:$A$17,0)),IF(O79&gt;T79,"Tolerance breach",IF(O79&gt;S79,"Appetite breach","Within appetite")))))))</f>
        <v/>
      </c>
      <c r="V79" s="38" t="str">
        <f>IF(A79="","",IF(COUNTIFS('Risk Acceptance Register'!$B$6:$B$105,A79,'Risk Acceptance Register'!$I$6:$I$105,"Approved")&gt;0,"Yes","No"))</f>
        <v/>
      </c>
      <c r="W79" s="38" t="str">
        <f>IF(V79&lt;&gt;"Yes","",IFERROR(IF(COUNTIFS('Risk Acceptance Register'!$B$6:$B$105,A79,'Risk Acceptance Register'!$T$6:$T$105,"Eligible")&gt;0,LOOKUP(2,1/(('Risk Acceptance Register'!$B$6:$B$105=A79)*('Risk Acceptance Register'!$T$6:$T$105="Eligible")),'Risk Acceptance Register'!$J$6:$J$105),LOOKUP(2,1/(('Risk Acceptance Register'!$B$6:$B$105=A79)*('Risk Acceptance Register'!$I$6:$I$105="Approved")),'Risk Acceptance Register'!$J$6:$J$105))&amp;"",""))</f>
        <v/>
      </c>
      <c r="X79" s="39" t="str">
        <f>IF(V79&lt;&gt;"Yes","",IFERROR(IF(IF(COUNTIFS('Risk Acceptance Register'!$B$6:$B$105,A79,'Risk Acceptance Register'!$T$6:$T$105,"Eligible")&gt;0,LOOKUP(2,1/(('Risk Acceptance Register'!$B$6:$B$105=A79)*('Risk Acceptance Register'!$T$6:$T$105="Eligible")),'Risk Acceptance Register'!$M$6:$M$105),LOOKUP(2,1/(('Risk Acceptance Register'!$B$6:$B$105=A79)*('Risk Acceptance Register'!$I$6:$I$105="Approved")),'Risk Acceptance Register'!$M$6:$M$105))=0,"",IF(COUNTIFS('Risk Acceptance Register'!$B$6:$B$105,A79,'Risk Acceptance Register'!$T$6:$T$105,"Eligible")&gt;0,LOOKUP(2,1/(('Risk Acceptance Register'!$B$6:$B$105=A79)*('Risk Acceptance Register'!$T$6:$T$105="Eligible")),'Risk Acceptance Register'!$M$6:$M$105),LOOKUP(2,1/(('Risk Acceptance Register'!$B$6:$B$105=A79)*('Risk Acceptance Register'!$I$6:$I$105="Approved")),'Risk Acceptance Register'!$M$6:$M$105))),""))</f>
        <v/>
      </c>
      <c r="Y79" s="38" t="str">
        <f>IF(A79="","",IF(U79="Within appetite","Within appetite",IF(AND(U79&lt;&gt;"Appetite breach",U79&lt;&gt;"Tolerance breach"),U79,IF(COUNTIFS('Risk Acceptance Register'!$B$6:$B$105,A79,'Risk Acceptance Register'!$T$6:$T$105,"Eligible")&gt;0,"Breach - formally accepted",IF(V79="Yes",IF(X79="","Accepted - expiry not set",IF(X79&lt;Methodology!$B$4,"Acceptance expired - breach open","Breach - not accepted")),"Breach - not accepted")))))</f>
        <v/>
      </c>
      <c r="Z79" s="40"/>
      <c r="AA79" s="38" t="str">
        <f>IF(OR(A79="",Z79=""),"",IF(Z79&lt;Methodology!$B$4,"Overdue","On schedule"))</f>
        <v/>
      </c>
      <c r="AB79" s="38" t="str">
        <f>IF(OR(U79="",U79="Within appetite"),"",MAX(AB$5:AB78)+1)</f>
        <v/>
      </c>
      <c r="AC79" s="38" t="str">
        <f>IF(A79="","",COUNTIF('Treatment Tracker'!$B$6:$B$105,A79)-COUNTIFS('Treatment Tracker'!$B$6:$B$105,A79,'Treatment Tracker'!$H$6:$H$105,"Completed")-COUNTIFS('Treatment Tracker'!$B$6:$B$105,A79,'Treatment Tracker'!$H$6:$H$105,"Cancelled"))</f>
        <v/>
      </c>
      <c r="AD79" s="38" t="str">
        <f t="shared" si="26"/>
        <v/>
      </c>
      <c r="AE79" s="35"/>
      <c r="AF79" s="35"/>
      <c r="AG79" s="40"/>
      <c r="AH79" s="35"/>
      <c r="AI79" s="38" t="str">
        <f>IF(A79="","",IF(OR(K79="",L79=""),"No assessment",IF(OR(NOT(ISNUMBER(K79)),NOT(ISNUMBER(L79))),"Invalid residual ratings",IF(OR(K79&lt;1,K79&gt;5,L79&lt;1,L79&gt;5,INT(K79)&lt;&gt;K79,INT(L79)&lt;&gt;L79),"Invalid residual ratings",IF(OR(AE79="",AF79="",AG79="",AH79=""),"Incomplete evidence",IF(NOT(ISNUMBER(AG79)),"Invalid assessment date",IF(OR(AG79&gt;Methodology!$B$4,AG79&lt;=0),"Invalid assessment date",IF(AG79+Methodology!$B$3&lt;Methodology!$B$4,"Expired",IF(AL79&lt;&gt;"Approved","Approval not confirmed","Valid")))))))))</f>
        <v/>
      </c>
      <c r="AJ79" s="38" t="str">
        <f>IF(OR(F79="",G79=""),"",MAX(1,ROUND(F79*(1-IFERROR(INDEX(Methodology!$B$41:$B$44,MATCH(J79,Methodology!$A$41:$A$44,0)),0)),0))*G79)</f>
        <v/>
      </c>
      <c r="AK79" s="38" t="str">
        <f t="shared" si="27"/>
        <v/>
      </c>
      <c r="AL79" s="36"/>
    </row>
    <row r="80" spans="1:38" x14ac:dyDescent="0.35">
      <c r="A80" s="35"/>
      <c r="B80" s="24"/>
      <c r="C80" s="24"/>
      <c r="D80" s="35"/>
      <c r="E80" s="35"/>
      <c r="F80" s="36"/>
      <c r="G80" s="36"/>
      <c r="H80" s="37" t="str">
        <f t="shared" si="21"/>
        <v/>
      </c>
      <c r="I80" s="38" t="str">
        <f>IF(NOT(ISNUMBER(H80)),"",INDEX(Methodology!$B$26:$B$29,MATCH(H80,Methodology!$A$26:$A$29,1)))</f>
        <v/>
      </c>
      <c r="J80" s="35"/>
      <c r="K80" s="36"/>
      <c r="L80" s="36"/>
      <c r="M80" s="37" t="str">
        <f t="shared" si="22"/>
        <v/>
      </c>
      <c r="N80" s="37" t="str">
        <f t="shared" si="23"/>
        <v/>
      </c>
      <c r="O80" s="37" t="str">
        <f t="shared" si="24"/>
        <v/>
      </c>
      <c r="P80" s="38" t="str">
        <f>IF(O80="","",INDEX(Methodology!$B$26:$B$29,MATCH(O80,Methodology!$A$26:$A$29,1)))</f>
        <v/>
      </c>
      <c r="Q80" s="36"/>
      <c r="R80" s="37" t="str">
        <f t="shared" si="25"/>
        <v/>
      </c>
      <c r="S80" s="37" t="str">
        <f>IF(D80="","",IFERROR(IF(OR(INDEX(Appetite!$I$6:$I$17,MATCH(D80,Appetite!$A$6:$A$17,0))="OK",INDEX(Appetite!$I$6:$I$17,MATCH(D80,Appetite!$A$6:$A$17,0))="Review overdue - approved"),INDEX(Appetite!$C$6:$C$17,MATCH(D80,Appetite!$A$6:$A$17,0)),""),""))</f>
        <v/>
      </c>
      <c r="T80" s="37" t="str">
        <f>IF(D80="","",IFERROR(IF(OR(INDEX(Appetite!$I$6:$I$17,MATCH(D80,Appetite!$A$6:$A$17,0))="OK",INDEX(Appetite!$I$6:$I$17,MATCH(D80,Appetite!$A$6:$A$17,0))="Review overdue - approved"),INDEX(Appetite!$D$6:$D$17,MATCH(D80,Appetite!$A$6:$A$17,0)),""),""))</f>
        <v/>
      </c>
      <c r="U80" s="38" t="str">
        <f>IF(A80="","",IF(H80="Invalid inherent ratings","Invalid inherent ratings",IF(O80="","Assessment missing",IF(COUNTIF(Appetite!$A$6:$A$17,D80)=0,"Configuration missing",IF(OR(S80="",T80=""),"Configuration: "&amp;INDEX(Appetite!$I$6:$I$17,MATCH(D80,Appetite!$A$6:$A$17,0)),IF(O80&gt;T80,"Tolerance breach",IF(O80&gt;S80,"Appetite breach","Within appetite")))))))</f>
        <v/>
      </c>
      <c r="V80" s="38" t="str">
        <f>IF(A80="","",IF(COUNTIFS('Risk Acceptance Register'!$B$6:$B$105,A80,'Risk Acceptance Register'!$I$6:$I$105,"Approved")&gt;0,"Yes","No"))</f>
        <v/>
      </c>
      <c r="W80" s="38" t="str">
        <f>IF(V80&lt;&gt;"Yes","",IFERROR(IF(COUNTIFS('Risk Acceptance Register'!$B$6:$B$105,A80,'Risk Acceptance Register'!$T$6:$T$105,"Eligible")&gt;0,LOOKUP(2,1/(('Risk Acceptance Register'!$B$6:$B$105=A80)*('Risk Acceptance Register'!$T$6:$T$105="Eligible")),'Risk Acceptance Register'!$J$6:$J$105),LOOKUP(2,1/(('Risk Acceptance Register'!$B$6:$B$105=A80)*('Risk Acceptance Register'!$I$6:$I$105="Approved")),'Risk Acceptance Register'!$J$6:$J$105))&amp;"",""))</f>
        <v/>
      </c>
      <c r="X80" s="39" t="str">
        <f>IF(V80&lt;&gt;"Yes","",IFERROR(IF(IF(COUNTIFS('Risk Acceptance Register'!$B$6:$B$105,A80,'Risk Acceptance Register'!$T$6:$T$105,"Eligible")&gt;0,LOOKUP(2,1/(('Risk Acceptance Register'!$B$6:$B$105=A80)*('Risk Acceptance Register'!$T$6:$T$105="Eligible")),'Risk Acceptance Register'!$M$6:$M$105),LOOKUP(2,1/(('Risk Acceptance Register'!$B$6:$B$105=A80)*('Risk Acceptance Register'!$I$6:$I$105="Approved")),'Risk Acceptance Register'!$M$6:$M$105))=0,"",IF(COUNTIFS('Risk Acceptance Register'!$B$6:$B$105,A80,'Risk Acceptance Register'!$T$6:$T$105,"Eligible")&gt;0,LOOKUP(2,1/(('Risk Acceptance Register'!$B$6:$B$105=A80)*('Risk Acceptance Register'!$T$6:$T$105="Eligible")),'Risk Acceptance Register'!$M$6:$M$105),LOOKUP(2,1/(('Risk Acceptance Register'!$B$6:$B$105=A80)*('Risk Acceptance Register'!$I$6:$I$105="Approved")),'Risk Acceptance Register'!$M$6:$M$105))),""))</f>
        <v/>
      </c>
      <c r="Y80" s="38" t="str">
        <f>IF(A80="","",IF(U80="Within appetite","Within appetite",IF(AND(U80&lt;&gt;"Appetite breach",U80&lt;&gt;"Tolerance breach"),U80,IF(COUNTIFS('Risk Acceptance Register'!$B$6:$B$105,A80,'Risk Acceptance Register'!$T$6:$T$105,"Eligible")&gt;0,"Breach - formally accepted",IF(V80="Yes",IF(X80="","Accepted - expiry not set",IF(X80&lt;Methodology!$B$4,"Acceptance expired - breach open","Breach - not accepted")),"Breach - not accepted")))))</f>
        <v/>
      </c>
      <c r="Z80" s="40"/>
      <c r="AA80" s="38" t="str">
        <f>IF(OR(A80="",Z80=""),"",IF(Z80&lt;Methodology!$B$4,"Overdue","On schedule"))</f>
        <v/>
      </c>
      <c r="AB80" s="38" t="str">
        <f>IF(OR(U80="",U80="Within appetite"),"",MAX(AB$5:AB79)+1)</f>
        <v/>
      </c>
      <c r="AC80" s="38" t="str">
        <f>IF(A80="","",COUNTIF('Treatment Tracker'!$B$6:$B$105,A80)-COUNTIFS('Treatment Tracker'!$B$6:$B$105,A80,'Treatment Tracker'!$H$6:$H$105,"Completed")-COUNTIFS('Treatment Tracker'!$B$6:$B$105,A80,'Treatment Tracker'!$H$6:$H$105,"Cancelled"))</f>
        <v/>
      </c>
      <c r="AD80" s="38" t="str">
        <f t="shared" si="26"/>
        <v/>
      </c>
      <c r="AE80" s="35"/>
      <c r="AF80" s="35"/>
      <c r="AG80" s="40"/>
      <c r="AH80" s="35"/>
      <c r="AI80" s="38" t="str">
        <f>IF(A80="","",IF(OR(K80="",L80=""),"No assessment",IF(OR(NOT(ISNUMBER(K80)),NOT(ISNUMBER(L80))),"Invalid residual ratings",IF(OR(K80&lt;1,K80&gt;5,L80&lt;1,L80&gt;5,INT(K80)&lt;&gt;K80,INT(L80)&lt;&gt;L80),"Invalid residual ratings",IF(OR(AE80="",AF80="",AG80="",AH80=""),"Incomplete evidence",IF(NOT(ISNUMBER(AG80)),"Invalid assessment date",IF(OR(AG80&gt;Methodology!$B$4,AG80&lt;=0),"Invalid assessment date",IF(AG80+Methodology!$B$3&lt;Methodology!$B$4,"Expired",IF(AL80&lt;&gt;"Approved","Approval not confirmed","Valid")))))))))</f>
        <v/>
      </c>
      <c r="AJ80" s="38" t="str">
        <f>IF(OR(F80="",G80=""),"",MAX(1,ROUND(F80*(1-IFERROR(INDEX(Methodology!$B$41:$B$44,MATCH(J80,Methodology!$A$41:$A$44,0)),0)),0))*G80)</f>
        <v/>
      </c>
      <c r="AK80" s="38" t="str">
        <f t="shared" si="27"/>
        <v/>
      </c>
      <c r="AL80" s="36"/>
    </row>
    <row r="81" spans="1:38" x14ac:dyDescent="0.35">
      <c r="A81" s="35"/>
      <c r="B81" s="24"/>
      <c r="C81" s="24"/>
      <c r="D81" s="35"/>
      <c r="E81" s="35"/>
      <c r="F81" s="36"/>
      <c r="G81" s="36"/>
      <c r="H81" s="37" t="str">
        <f t="shared" si="21"/>
        <v/>
      </c>
      <c r="I81" s="38" t="str">
        <f>IF(NOT(ISNUMBER(H81)),"",INDEX(Methodology!$B$26:$B$29,MATCH(H81,Methodology!$A$26:$A$29,1)))</f>
        <v/>
      </c>
      <c r="J81" s="35"/>
      <c r="K81" s="36"/>
      <c r="L81" s="36"/>
      <c r="M81" s="37" t="str">
        <f t="shared" si="22"/>
        <v/>
      </c>
      <c r="N81" s="37" t="str">
        <f t="shared" si="23"/>
        <v/>
      </c>
      <c r="O81" s="37" t="str">
        <f t="shared" si="24"/>
        <v/>
      </c>
      <c r="P81" s="38" t="str">
        <f>IF(O81="","",INDEX(Methodology!$B$26:$B$29,MATCH(O81,Methodology!$A$26:$A$29,1)))</f>
        <v/>
      </c>
      <c r="Q81" s="36"/>
      <c r="R81" s="37" t="str">
        <f t="shared" si="25"/>
        <v/>
      </c>
      <c r="S81" s="37" t="str">
        <f>IF(D81="","",IFERROR(IF(OR(INDEX(Appetite!$I$6:$I$17,MATCH(D81,Appetite!$A$6:$A$17,0))="OK",INDEX(Appetite!$I$6:$I$17,MATCH(D81,Appetite!$A$6:$A$17,0))="Review overdue - approved"),INDEX(Appetite!$C$6:$C$17,MATCH(D81,Appetite!$A$6:$A$17,0)),""),""))</f>
        <v/>
      </c>
      <c r="T81" s="37" t="str">
        <f>IF(D81="","",IFERROR(IF(OR(INDEX(Appetite!$I$6:$I$17,MATCH(D81,Appetite!$A$6:$A$17,0))="OK",INDEX(Appetite!$I$6:$I$17,MATCH(D81,Appetite!$A$6:$A$17,0))="Review overdue - approved"),INDEX(Appetite!$D$6:$D$17,MATCH(D81,Appetite!$A$6:$A$17,0)),""),""))</f>
        <v/>
      </c>
      <c r="U81" s="38" t="str">
        <f>IF(A81="","",IF(H81="Invalid inherent ratings","Invalid inherent ratings",IF(O81="","Assessment missing",IF(COUNTIF(Appetite!$A$6:$A$17,D81)=0,"Configuration missing",IF(OR(S81="",T81=""),"Configuration: "&amp;INDEX(Appetite!$I$6:$I$17,MATCH(D81,Appetite!$A$6:$A$17,0)),IF(O81&gt;T81,"Tolerance breach",IF(O81&gt;S81,"Appetite breach","Within appetite")))))))</f>
        <v/>
      </c>
      <c r="V81" s="38" t="str">
        <f>IF(A81="","",IF(COUNTIFS('Risk Acceptance Register'!$B$6:$B$105,A81,'Risk Acceptance Register'!$I$6:$I$105,"Approved")&gt;0,"Yes","No"))</f>
        <v/>
      </c>
      <c r="W81" s="38" t="str">
        <f>IF(V81&lt;&gt;"Yes","",IFERROR(IF(COUNTIFS('Risk Acceptance Register'!$B$6:$B$105,A81,'Risk Acceptance Register'!$T$6:$T$105,"Eligible")&gt;0,LOOKUP(2,1/(('Risk Acceptance Register'!$B$6:$B$105=A81)*('Risk Acceptance Register'!$T$6:$T$105="Eligible")),'Risk Acceptance Register'!$J$6:$J$105),LOOKUP(2,1/(('Risk Acceptance Register'!$B$6:$B$105=A81)*('Risk Acceptance Register'!$I$6:$I$105="Approved")),'Risk Acceptance Register'!$J$6:$J$105))&amp;"",""))</f>
        <v/>
      </c>
      <c r="X81" s="39" t="str">
        <f>IF(V81&lt;&gt;"Yes","",IFERROR(IF(IF(COUNTIFS('Risk Acceptance Register'!$B$6:$B$105,A81,'Risk Acceptance Register'!$T$6:$T$105,"Eligible")&gt;0,LOOKUP(2,1/(('Risk Acceptance Register'!$B$6:$B$105=A81)*('Risk Acceptance Register'!$T$6:$T$105="Eligible")),'Risk Acceptance Register'!$M$6:$M$105),LOOKUP(2,1/(('Risk Acceptance Register'!$B$6:$B$105=A81)*('Risk Acceptance Register'!$I$6:$I$105="Approved")),'Risk Acceptance Register'!$M$6:$M$105))=0,"",IF(COUNTIFS('Risk Acceptance Register'!$B$6:$B$105,A81,'Risk Acceptance Register'!$T$6:$T$105,"Eligible")&gt;0,LOOKUP(2,1/(('Risk Acceptance Register'!$B$6:$B$105=A81)*('Risk Acceptance Register'!$T$6:$T$105="Eligible")),'Risk Acceptance Register'!$M$6:$M$105),LOOKUP(2,1/(('Risk Acceptance Register'!$B$6:$B$105=A81)*('Risk Acceptance Register'!$I$6:$I$105="Approved")),'Risk Acceptance Register'!$M$6:$M$105))),""))</f>
        <v/>
      </c>
      <c r="Y81" s="38" t="str">
        <f>IF(A81="","",IF(U81="Within appetite","Within appetite",IF(AND(U81&lt;&gt;"Appetite breach",U81&lt;&gt;"Tolerance breach"),U81,IF(COUNTIFS('Risk Acceptance Register'!$B$6:$B$105,A81,'Risk Acceptance Register'!$T$6:$T$105,"Eligible")&gt;0,"Breach - formally accepted",IF(V81="Yes",IF(X81="","Accepted - expiry not set",IF(X81&lt;Methodology!$B$4,"Acceptance expired - breach open","Breach - not accepted")),"Breach - not accepted")))))</f>
        <v/>
      </c>
      <c r="Z81" s="40"/>
      <c r="AA81" s="38" t="str">
        <f>IF(OR(A81="",Z81=""),"",IF(Z81&lt;Methodology!$B$4,"Overdue","On schedule"))</f>
        <v/>
      </c>
      <c r="AB81" s="38" t="str">
        <f>IF(OR(U81="",U81="Within appetite"),"",MAX(AB$5:AB80)+1)</f>
        <v/>
      </c>
      <c r="AC81" s="38" t="str">
        <f>IF(A81="","",COUNTIF('Treatment Tracker'!$B$6:$B$105,A81)-COUNTIFS('Treatment Tracker'!$B$6:$B$105,A81,'Treatment Tracker'!$H$6:$H$105,"Completed")-COUNTIFS('Treatment Tracker'!$B$6:$B$105,A81,'Treatment Tracker'!$H$6:$H$105,"Cancelled"))</f>
        <v/>
      </c>
      <c r="AD81" s="38" t="str">
        <f t="shared" si="26"/>
        <v/>
      </c>
      <c r="AE81" s="35"/>
      <c r="AF81" s="35"/>
      <c r="AG81" s="40"/>
      <c r="AH81" s="35"/>
      <c r="AI81" s="38" t="str">
        <f>IF(A81="","",IF(OR(K81="",L81=""),"No assessment",IF(OR(NOT(ISNUMBER(K81)),NOT(ISNUMBER(L81))),"Invalid residual ratings",IF(OR(K81&lt;1,K81&gt;5,L81&lt;1,L81&gt;5,INT(K81)&lt;&gt;K81,INT(L81)&lt;&gt;L81),"Invalid residual ratings",IF(OR(AE81="",AF81="",AG81="",AH81=""),"Incomplete evidence",IF(NOT(ISNUMBER(AG81)),"Invalid assessment date",IF(OR(AG81&gt;Methodology!$B$4,AG81&lt;=0),"Invalid assessment date",IF(AG81+Methodology!$B$3&lt;Methodology!$B$4,"Expired",IF(AL81&lt;&gt;"Approved","Approval not confirmed","Valid")))))))))</f>
        <v/>
      </c>
      <c r="AJ81" s="38" t="str">
        <f>IF(OR(F81="",G81=""),"",MAX(1,ROUND(F81*(1-IFERROR(INDEX(Methodology!$B$41:$B$44,MATCH(J81,Methodology!$A$41:$A$44,0)),0)),0))*G81)</f>
        <v/>
      </c>
      <c r="AK81" s="38" t="str">
        <f t="shared" si="27"/>
        <v/>
      </c>
      <c r="AL81" s="36"/>
    </row>
    <row r="82" spans="1:38" x14ac:dyDescent="0.35">
      <c r="A82" s="35"/>
      <c r="B82" s="24"/>
      <c r="C82" s="24"/>
      <c r="D82" s="35"/>
      <c r="E82" s="35"/>
      <c r="F82" s="36"/>
      <c r="G82" s="36"/>
      <c r="H82" s="37" t="str">
        <f t="shared" si="21"/>
        <v/>
      </c>
      <c r="I82" s="38" t="str">
        <f>IF(NOT(ISNUMBER(H82)),"",INDEX(Methodology!$B$26:$B$29,MATCH(H82,Methodology!$A$26:$A$29,1)))</f>
        <v/>
      </c>
      <c r="J82" s="35"/>
      <c r="K82" s="36"/>
      <c r="L82" s="36"/>
      <c r="M82" s="37" t="str">
        <f t="shared" si="22"/>
        <v/>
      </c>
      <c r="N82" s="37" t="str">
        <f t="shared" si="23"/>
        <v/>
      </c>
      <c r="O82" s="37" t="str">
        <f t="shared" si="24"/>
        <v/>
      </c>
      <c r="P82" s="38" t="str">
        <f>IF(O82="","",INDEX(Methodology!$B$26:$B$29,MATCH(O82,Methodology!$A$26:$A$29,1)))</f>
        <v/>
      </c>
      <c r="Q82" s="36"/>
      <c r="R82" s="37" t="str">
        <f t="shared" si="25"/>
        <v/>
      </c>
      <c r="S82" s="37" t="str">
        <f>IF(D82="","",IFERROR(IF(OR(INDEX(Appetite!$I$6:$I$17,MATCH(D82,Appetite!$A$6:$A$17,0))="OK",INDEX(Appetite!$I$6:$I$17,MATCH(D82,Appetite!$A$6:$A$17,0))="Review overdue - approved"),INDEX(Appetite!$C$6:$C$17,MATCH(D82,Appetite!$A$6:$A$17,0)),""),""))</f>
        <v/>
      </c>
      <c r="T82" s="37" t="str">
        <f>IF(D82="","",IFERROR(IF(OR(INDEX(Appetite!$I$6:$I$17,MATCH(D82,Appetite!$A$6:$A$17,0))="OK",INDEX(Appetite!$I$6:$I$17,MATCH(D82,Appetite!$A$6:$A$17,0))="Review overdue - approved"),INDEX(Appetite!$D$6:$D$17,MATCH(D82,Appetite!$A$6:$A$17,0)),""),""))</f>
        <v/>
      </c>
      <c r="U82" s="38" t="str">
        <f>IF(A82="","",IF(H82="Invalid inherent ratings","Invalid inherent ratings",IF(O82="","Assessment missing",IF(COUNTIF(Appetite!$A$6:$A$17,D82)=0,"Configuration missing",IF(OR(S82="",T82=""),"Configuration: "&amp;INDEX(Appetite!$I$6:$I$17,MATCH(D82,Appetite!$A$6:$A$17,0)),IF(O82&gt;T82,"Tolerance breach",IF(O82&gt;S82,"Appetite breach","Within appetite")))))))</f>
        <v/>
      </c>
      <c r="V82" s="38" t="str">
        <f>IF(A82="","",IF(COUNTIFS('Risk Acceptance Register'!$B$6:$B$105,A82,'Risk Acceptance Register'!$I$6:$I$105,"Approved")&gt;0,"Yes","No"))</f>
        <v/>
      </c>
      <c r="W82" s="38" t="str">
        <f>IF(V82&lt;&gt;"Yes","",IFERROR(IF(COUNTIFS('Risk Acceptance Register'!$B$6:$B$105,A82,'Risk Acceptance Register'!$T$6:$T$105,"Eligible")&gt;0,LOOKUP(2,1/(('Risk Acceptance Register'!$B$6:$B$105=A82)*('Risk Acceptance Register'!$T$6:$T$105="Eligible")),'Risk Acceptance Register'!$J$6:$J$105),LOOKUP(2,1/(('Risk Acceptance Register'!$B$6:$B$105=A82)*('Risk Acceptance Register'!$I$6:$I$105="Approved")),'Risk Acceptance Register'!$J$6:$J$105))&amp;"",""))</f>
        <v/>
      </c>
      <c r="X82" s="39" t="str">
        <f>IF(V82&lt;&gt;"Yes","",IFERROR(IF(IF(COUNTIFS('Risk Acceptance Register'!$B$6:$B$105,A82,'Risk Acceptance Register'!$T$6:$T$105,"Eligible")&gt;0,LOOKUP(2,1/(('Risk Acceptance Register'!$B$6:$B$105=A82)*('Risk Acceptance Register'!$T$6:$T$105="Eligible")),'Risk Acceptance Register'!$M$6:$M$105),LOOKUP(2,1/(('Risk Acceptance Register'!$B$6:$B$105=A82)*('Risk Acceptance Register'!$I$6:$I$105="Approved")),'Risk Acceptance Register'!$M$6:$M$105))=0,"",IF(COUNTIFS('Risk Acceptance Register'!$B$6:$B$105,A82,'Risk Acceptance Register'!$T$6:$T$105,"Eligible")&gt;0,LOOKUP(2,1/(('Risk Acceptance Register'!$B$6:$B$105=A82)*('Risk Acceptance Register'!$T$6:$T$105="Eligible")),'Risk Acceptance Register'!$M$6:$M$105),LOOKUP(2,1/(('Risk Acceptance Register'!$B$6:$B$105=A82)*('Risk Acceptance Register'!$I$6:$I$105="Approved")),'Risk Acceptance Register'!$M$6:$M$105))),""))</f>
        <v/>
      </c>
      <c r="Y82" s="38" t="str">
        <f>IF(A82="","",IF(U82="Within appetite","Within appetite",IF(AND(U82&lt;&gt;"Appetite breach",U82&lt;&gt;"Tolerance breach"),U82,IF(COUNTIFS('Risk Acceptance Register'!$B$6:$B$105,A82,'Risk Acceptance Register'!$T$6:$T$105,"Eligible")&gt;0,"Breach - formally accepted",IF(V82="Yes",IF(X82="","Accepted - expiry not set",IF(X82&lt;Methodology!$B$4,"Acceptance expired - breach open","Breach - not accepted")),"Breach - not accepted")))))</f>
        <v/>
      </c>
      <c r="Z82" s="40"/>
      <c r="AA82" s="38" t="str">
        <f>IF(OR(A82="",Z82=""),"",IF(Z82&lt;Methodology!$B$4,"Overdue","On schedule"))</f>
        <v/>
      </c>
      <c r="AB82" s="38" t="str">
        <f>IF(OR(U82="",U82="Within appetite"),"",MAX(AB$5:AB81)+1)</f>
        <v/>
      </c>
      <c r="AC82" s="38" t="str">
        <f>IF(A82="","",COUNTIF('Treatment Tracker'!$B$6:$B$105,A82)-COUNTIFS('Treatment Tracker'!$B$6:$B$105,A82,'Treatment Tracker'!$H$6:$H$105,"Completed")-COUNTIFS('Treatment Tracker'!$B$6:$B$105,A82,'Treatment Tracker'!$H$6:$H$105,"Cancelled"))</f>
        <v/>
      </c>
      <c r="AD82" s="38" t="str">
        <f t="shared" si="26"/>
        <v/>
      </c>
      <c r="AE82" s="35"/>
      <c r="AF82" s="35"/>
      <c r="AG82" s="40"/>
      <c r="AH82" s="35"/>
      <c r="AI82" s="38" t="str">
        <f>IF(A82="","",IF(OR(K82="",L82=""),"No assessment",IF(OR(NOT(ISNUMBER(K82)),NOT(ISNUMBER(L82))),"Invalid residual ratings",IF(OR(K82&lt;1,K82&gt;5,L82&lt;1,L82&gt;5,INT(K82)&lt;&gt;K82,INT(L82)&lt;&gt;L82),"Invalid residual ratings",IF(OR(AE82="",AF82="",AG82="",AH82=""),"Incomplete evidence",IF(NOT(ISNUMBER(AG82)),"Invalid assessment date",IF(OR(AG82&gt;Methodology!$B$4,AG82&lt;=0),"Invalid assessment date",IF(AG82+Methodology!$B$3&lt;Methodology!$B$4,"Expired",IF(AL82&lt;&gt;"Approved","Approval not confirmed","Valid")))))))))</f>
        <v/>
      </c>
      <c r="AJ82" s="38" t="str">
        <f>IF(OR(F82="",G82=""),"",MAX(1,ROUND(F82*(1-IFERROR(INDEX(Methodology!$B$41:$B$44,MATCH(J82,Methodology!$A$41:$A$44,0)),0)),0))*G82)</f>
        <v/>
      </c>
      <c r="AK82" s="38" t="str">
        <f t="shared" si="27"/>
        <v/>
      </c>
      <c r="AL82" s="36"/>
    </row>
    <row r="83" spans="1:38" x14ac:dyDescent="0.35">
      <c r="A83" s="35"/>
      <c r="B83" s="24"/>
      <c r="C83" s="24"/>
      <c r="D83" s="35"/>
      <c r="E83" s="35"/>
      <c r="F83" s="36"/>
      <c r="G83" s="36"/>
      <c r="H83" s="37" t="str">
        <f t="shared" si="21"/>
        <v/>
      </c>
      <c r="I83" s="38" t="str">
        <f>IF(NOT(ISNUMBER(H83)),"",INDEX(Methodology!$B$26:$B$29,MATCH(H83,Methodology!$A$26:$A$29,1)))</f>
        <v/>
      </c>
      <c r="J83" s="35"/>
      <c r="K83" s="36"/>
      <c r="L83" s="36"/>
      <c r="M83" s="37" t="str">
        <f t="shared" si="22"/>
        <v/>
      </c>
      <c r="N83" s="37" t="str">
        <f t="shared" si="23"/>
        <v/>
      </c>
      <c r="O83" s="37" t="str">
        <f t="shared" si="24"/>
        <v/>
      </c>
      <c r="P83" s="38" t="str">
        <f>IF(O83="","",INDEX(Methodology!$B$26:$B$29,MATCH(O83,Methodology!$A$26:$A$29,1)))</f>
        <v/>
      </c>
      <c r="Q83" s="36"/>
      <c r="R83" s="37" t="str">
        <f t="shared" si="25"/>
        <v/>
      </c>
      <c r="S83" s="37" t="str">
        <f>IF(D83="","",IFERROR(IF(OR(INDEX(Appetite!$I$6:$I$17,MATCH(D83,Appetite!$A$6:$A$17,0))="OK",INDEX(Appetite!$I$6:$I$17,MATCH(D83,Appetite!$A$6:$A$17,0))="Review overdue - approved"),INDEX(Appetite!$C$6:$C$17,MATCH(D83,Appetite!$A$6:$A$17,0)),""),""))</f>
        <v/>
      </c>
      <c r="T83" s="37" t="str">
        <f>IF(D83="","",IFERROR(IF(OR(INDEX(Appetite!$I$6:$I$17,MATCH(D83,Appetite!$A$6:$A$17,0))="OK",INDEX(Appetite!$I$6:$I$17,MATCH(D83,Appetite!$A$6:$A$17,0))="Review overdue - approved"),INDEX(Appetite!$D$6:$D$17,MATCH(D83,Appetite!$A$6:$A$17,0)),""),""))</f>
        <v/>
      </c>
      <c r="U83" s="38" t="str">
        <f>IF(A83="","",IF(H83="Invalid inherent ratings","Invalid inherent ratings",IF(O83="","Assessment missing",IF(COUNTIF(Appetite!$A$6:$A$17,D83)=0,"Configuration missing",IF(OR(S83="",T83=""),"Configuration: "&amp;INDEX(Appetite!$I$6:$I$17,MATCH(D83,Appetite!$A$6:$A$17,0)),IF(O83&gt;T83,"Tolerance breach",IF(O83&gt;S83,"Appetite breach","Within appetite")))))))</f>
        <v/>
      </c>
      <c r="V83" s="38" t="str">
        <f>IF(A83="","",IF(COUNTIFS('Risk Acceptance Register'!$B$6:$B$105,A83,'Risk Acceptance Register'!$I$6:$I$105,"Approved")&gt;0,"Yes","No"))</f>
        <v/>
      </c>
      <c r="W83" s="38" t="str">
        <f>IF(V83&lt;&gt;"Yes","",IFERROR(IF(COUNTIFS('Risk Acceptance Register'!$B$6:$B$105,A83,'Risk Acceptance Register'!$T$6:$T$105,"Eligible")&gt;0,LOOKUP(2,1/(('Risk Acceptance Register'!$B$6:$B$105=A83)*('Risk Acceptance Register'!$T$6:$T$105="Eligible")),'Risk Acceptance Register'!$J$6:$J$105),LOOKUP(2,1/(('Risk Acceptance Register'!$B$6:$B$105=A83)*('Risk Acceptance Register'!$I$6:$I$105="Approved")),'Risk Acceptance Register'!$J$6:$J$105))&amp;"",""))</f>
        <v/>
      </c>
      <c r="X83" s="39" t="str">
        <f>IF(V83&lt;&gt;"Yes","",IFERROR(IF(IF(COUNTIFS('Risk Acceptance Register'!$B$6:$B$105,A83,'Risk Acceptance Register'!$T$6:$T$105,"Eligible")&gt;0,LOOKUP(2,1/(('Risk Acceptance Register'!$B$6:$B$105=A83)*('Risk Acceptance Register'!$T$6:$T$105="Eligible")),'Risk Acceptance Register'!$M$6:$M$105),LOOKUP(2,1/(('Risk Acceptance Register'!$B$6:$B$105=A83)*('Risk Acceptance Register'!$I$6:$I$105="Approved")),'Risk Acceptance Register'!$M$6:$M$105))=0,"",IF(COUNTIFS('Risk Acceptance Register'!$B$6:$B$105,A83,'Risk Acceptance Register'!$T$6:$T$105,"Eligible")&gt;0,LOOKUP(2,1/(('Risk Acceptance Register'!$B$6:$B$105=A83)*('Risk Acceptance Register'!$T$6:$T$105="Eligible")),'Risk Acceptance Register'!$M$6:$M$105),LOOKUP(2,1/(('Risk Acceptance Register'!$B$6:$B$105=A83)*('Risk Acceptance Register'!$I$6:$I$105="Approved")),'Risk Acceptance Register'!$M$6:$M$105))),""))</f>
        <v/>
      </c>
      <c r="Y83" s="38" t="str">
        <f>IF(A83="","",IF(U83="Within appetite","Within appetite",IF(AND(U83&lt;&gt;"Appetite breach",U83&lt;&gt;"Tolerance breach"),U83,IF(COUNTIFS('Risk Acceptance Register'!$B$6:$B$105,A83,'Risk Acceptance Register'!$T$6:$T$105,"Eligible")&gt;0,"Breach - formally accepted",IF(V83="Yes",IF(X83="","Accepted - expiry not set",IF(X83&lt;Methodology!$B$4,"Acceptance expired - breach open","Breach - not accepted")),"Breach - not accepted")))))</f>
        <v/>
      </c>
      <c r="Z83" s="40"/>
      <c r="AA83" s="38" t="str">
        <f>IF(OR(A83="",Z83=""),"",IF(Z83&lt;Methodology!$B$4,"Overdue","On schedule"))</f>
        <v/>
      </c>
      <c r="AB83" s="38" t="str">
        <f>IF(OR(U83="",U83="Within appetite"),"",MAX(AB$5:AB82)+1)</f>
        <v/>
      </c>
      <c r="AC83" s="38" t="str">
        <f>IF(A83="","",COUNTIF('Treatment Tracker'!$B$6:$B$105,A83)-COUNTIFS('Treatment Tracker'!$B$6:$B$105,A83,'Treatment Tracker'!$H$6:$H$105,"Completed")-COUNTIFS('Treatment Tracker'!$B$6:$B$105,A83,'Treatment Tracker'!$H$6:$H$105,"Cancelled"))</f>
        <v/>
      </c>
      <c r="AD83" s="38" t="str">
        <f t="shared" si="26"/>
        <v/>
      </c>
      <c r="AE83" s="35"/>
      <c r="AF83" s="35"/>
      <c r="AG83" s="40"/>
      <c r="AH83" s="35"/>
      <c r="AI83" s="38" t="str">
        <f>IF(A83="","",IF(OR(K83="",L83=""),"No assessment",IF(OR(NOT(ISNUMBER(K83)),NOT(ISNUMBER(L83))),"Invalid residual ratings",IF(OR(K83&lt;1,K83&gt;5,L83&lt;1,L83&gt;5,INT(K83)&lt;&gt;K83,INT(L83)&lt;&gt;L83),"Invalid residual ratings",IF(OR(AE83="",AF83="",AG83="",AH83=""),"Incomplete evidence",IF(NOT(ISNUMBER(AG83)),"Invalid assessment date",IF(OR(AG83&gt;Methodology!$B$4,AG83&lt;=0),"Invalid assessment date",IF(AG83+Methodology!$B$3&lt;Methodology!$B$4,"Expired",IF(AL83&lt;&gt;"Approved","Approval not confirmed","Valid")))))))))</f>
        <v/>
      </c>
      <c r="AJ83" s="38" t="str">
        <f>IF(OR(F83="",G83=""),"",MAX(1,ROUND(F83*(1-IFERROR(INDEX(Methodology!$B$41:$B$44,MATCH(J83,Methodology!$A$41:$A$44,0)),0)),0))*G83)</f>
        <v/>
      </c>
      <c r="AK83" s="38" t="str">
        <f t="shared" si="27"/>
        <v/>
      </c>
      <c r="AL83" s="36"/>
    </row>
    <row r="84" spans="1:38" x14ac:dyDescent="0.35">
      <c r="A84" s="35"/>
      <c r="B84" s="24"/>
      <c r="C84" s="24"/>
      <c r="D84" s="35"/>
      <c r="E84" s="35"/>
      <c r="F84" s="36"/>
      <c r="G84" s="36"/>
      <c r="H84" s="37" t="str">
        <f t="shared" si="21"/>
        <v/>
      </c>
      <c r="I84" s="38" t="str">
        <f>IF(NOT(ISNUMBER(H84)),"",INDEX(Methodology!$B$26:$B$29,MATCH(H84,Methodology!$A$26:$A$29,1)))</f>
        <v/>
      </c>
      <c r="J84" s="35"/>
      <c r="K84" s="36"/>
      <c r="L84" s="36"/>
      <c r="M84" s="37" t="str">
        <f t="shared" si="22"/>
        <v/>
      </c>
      <c r="N84" s="37" t="str">
        <f t="shared" si="23"/>
        <v/>
      </c>
      <c r="O84" s="37" t="str">
        <f t="shared" si="24"/>
        <v/>
      </c>
      <c r="P84" s="38" t="str">
        <f>IF(O84="","",INDEX(Methodology!$B$26:$B$29,MATCH(O84,Methodology!$A$26:$A$29,1)))</f>
        <v/>
      </c>
      <c r="Q84" s="36"/>
      <c r="R84" s="37" t="str">
        <f t="shared" si="25"/>
        <v/>
      </c>
      <c r="S84" s="37" t="str">
        <f>IF(D84="","",IFERROR(IF(OR(INDEX(Appetite!$I$6:$I$17,MATCH(D84,Appetite!$A$6:$A$17,0))="OK",INDEX(Appetite!$I$6:$I$17,MATCH(D84,Appetite!$A$6:$A$17,0))="Review overdue - approved"),INDEX(Appetite!$C$6:$C$17,MATCH(D84,Appetite!$A$6:$A$17,0)),""),""))</f>
        <v/>
      </c>
      <c r="T84" s="37" t="str">
        <f>IF(D84="","",IFERROR(IF(OR(INDEX(Appetite!$I$6:$I$17,MATCH(D84,Appetite!$A$6:$A$17,0))="OK",INDEX(Appetite!$I$6:$I$17,MATCH(D84,Appetite!$A$6:$A$17,0))="Review overdue - approved"),INDEX(Appetite!$D$6:$D$17,MATCH(D84,Appetite!$A$6:$A$17,0)),""),""))</f>
        <v/>
      </c>
      <c r="U84" s="38" t="str">
        <f>IF(A84="","",IF(H84="Invalid inherent ratings","Invalid inherent ratings",IF(O84="","Assessment missing",IF(COUNTIF(Appetite!$A$6:$A$17,D84)=0,"Configuration missing",IF(OR(S84="",T84=""),"Configuration: "&amp;INDEX(Appetite!$I$6:$I$17,MATCH(D84,Appetite!$A$6:$A$17,0)),IF(O84&gt;T84,"Tolerance breach",IF(O84&gt;S84,"Appetite breach","Within appetite")))))))</f>
        <v/>
      </c>
      <c r="V84" s="38" t="str">
        <f>IF(A84="","",IF(COUNTIFS('Risk Acceptance Register'!$B$6:$B$105,A84,'Risk Acceptance Register'!$I$6:$I$105,"Approved")&gt;0,"Yes","No"))</f>
        <v/>
      </c>
      <c r="W84" s="38" t="str">
        <f>IF(V84&lt;&gt;"Yes","",IFERROR(IF(COUNTIFS('Risk Acceptance Register'!$B$6:$B$105,A84,'Risk Acceptance Register'!$T$6:$T$105,"Eligible")&gt;0,LOOKUP(2,1/(('Risk Acceptance Register'!$B$6:$B$105=A84)*('Risk Acceptance Register'!$T$6:$T$105="Eligible")),'Risk Acceptance Register'!$J$6:$J$105),LOOKUP(2,1/(('Risk Acceptance Register'!$B$6:$B$105=A84)*('Risk Acceptance Register'!$I$6:$I$105="Approved")),'Risk Acceptance Register'!$J$6:$J$105))&amp;"",""))</f>
        <v/>
      </c>
      <c r="X84" s="39" t="str">
        <f>IF(V84&lt;&gt;"Yes","",IFERROR(IF(IF(COUNTIFS('Risk Acceptance Register'!$B$6:$B$105,A84,'Risk Acceptance Register'!$T$6:$T$105,"Eligible")&gt;0,LOOKUP(2,1/(('Risk Acceptance Register'!$B$6:$B$105=A84)*('Risk Acceptance Register'!$T$6:$T$105="Eligible")),'Risk Acceptance Register'!$M$6:$M$105),LOOKUP(2,1/(('Risk Acceptance Register'!$B$6:$B$105=A84)*('Risk Acceptance Register'!$I$6:$I$105="Approved")),'Risk Acceptance Register'!$M$6:$M$105))=0,"",IF(COUNTIFS('Risk Acceptance Register'!$B$6:$B$105,A84,'Risk Acceptance Register'!$T$6:$T$105,"Eligible")&gt;0,LOOKUP(2,1/(('Risk Acceptance Register'!$B$6:$B$105=A84)*('Risk Acceptance Register'!$T$6:$T$105="Eligible")),'Risk Acceptance Register'!$M$6:$M$105),LOOKUP(2,1/(('Risk Acceptance Register'!$B$6:$B$105=A84)*('Risk Acceptance Register'!$I$6:$I$105="Approved")),'Risk Acceptance Register'!$M$6:$M$105))),""))</f>
        <v/>
      </c>
      <c r="Y84" s="38" t="str">
        <f>IF(A84="","",IF(U84="Within appetite","Within appetite",IF(AND(U84&lt;&gt;"Appetite breach",U84&lt;&gt;"Tolerance breach"),U84,IF(COUNTIFS('Risk Acceptance Register'!$B$6:$B$105,A84,'Risk Acceptance Register'!$T$6:$T$105,"Eligible")&gt;0,"Breach - formally accepted",IF(V84="Yes",IF(X84="","Accepted - expiry not set",IF(X84&lt;Methodology!$B$4,"Acceptance expired - breach open","Breach - not accepted")),"Breach - not accepted")))))</f>
        <v/>
      </c>
      <c r="Z84" s="40"/>
      <c r="AA84" s="38" t="str">
        <f>IF(OR(A84="",Z84=""),"",IF(Z84&lt;Methodology!$B$4,"Overdue","On schedule"))</f>
        <v/>
      </c>
      <c r="AB84" s="38" t="str">
        <f>IF(OR(U84="",U84="Within appetite"),"",MAX(AB$5:AB83)+1)</f>
        <v/>
      </c>
      <c r="AC84" s="38" t="str">
        <f>IF(A84="","",COUNTIF('Treatment Tracker'!$B$6:$B$105,A84)-COUNTIFS('Treatment Tracker'!$B$6:$B$105,A84,'Treatment Tracker'!$H$6:$H$105,"Completed")-COUNTIFS('Treatment Tracker'!$B$6:$B$105,A84,'Treatment Tracker'!$H$6:$H$105,"Cancelled"))</f>
        <v/>
      </c>
      <c r="AD84" s="38" t="str">
        <f t="shared" si="26"/>
        <v/>
      </c>
      <c r="AE84" s="35"/>
      <c r="AF84" s="35"/>
      <c r="AG84" s="40"/>
      <c r="AH84" s="35"/>
      <c r="AI84" s="38" t="str">
        <f>IF(A84="","",IF(OR(K84="",L84=""),"No assessment",IF(OR(NOT(ISNUMBER(K84)),NOT(ISNUMBER(L84))),"Invalid residual ratings",IF(OR(K84&lt;1,K84&gt;5,L84&lt;1,L84&gt;5,INT(K84)&lt;&gt;K84,INT(L84)&lt;&gt;L84),"Invalid residual ratings",IF(OR(AE84="",AF84="",AG84="",AH84=""),"Incomplete evidence",IF(NOT(ISNUMBER(AG84)),"Invalid assessment date",IF(OR(AG84&gt;Methodology!$B$4,AG84&lt;=0),"Invalid assessment date",IF(AG84+Methodology!$B$3&lt;Methodology!$B$4,"Expired",IF(AL84&lt;&gt;"Approved","Approval not confirmed","Valid")))))))))</f>
        <v/>
      </c>
      <c r="AJ84" s="38" t="str">
        <f>IF(OR(F84="",G84=""),"",MAX(1,ROUND(F84*(1-IFERROR(INDEX(Methodology!$B$41:$B$44,MATCH(J84,Methodology!$A$41:$A$44,0)),0)),0))*G84)</f>
        <v/>
      </c>
      <c r="AK84" s="38" t="str">
        <f t="shared" si="27"/>
        <v/>
      </c>
      <c r="AL84" s="36"/>
    </row>
    <row r="85" spans="1:38" x14ac:dyDescent="0.35">
      <c r="A85" s="35"/>
      <c r="B85" s="24"/>
      <c r="C85" s="24"/>
      <c r="D85" s="35"/>
      <c r="E85" s="35"/>
      <c r="F85" s="36"/>
      <c r="G85" s="36"/>
      <c r="H85" s="37" t="str">
        <f t="shared" si="21"/>
        <v/>
      </c>
      <c r="I85" s="38" t="str">
        <f>IF(NOT(ISNUMBER(H85)),"",INDEX(Methodology!$B$26:$B$29,MATCH(H85,Methodology!$A$26:$A$29,1)))</f>
        <v/>
      </c>
      <c r="J85" s="35"/>
      <c r="K85" s="36"/>
      <c r="L85" s="36"/>
      <c r="M85" s="37" t="str">
        <f t="shared" si="22"/>
        <v/>
      </c>
      <c r="N85" s="37" t="str">
        <f t="shared" si="23"/>
        <v/>
      </c>
      <c r="O85" s="37" t="str">
        <f t="shared" si="24"/>
        <v/>
      </c>
      <c r="P85" s="38" t="str">
        <f>IF(O85="","",INDEX(Methodology!$B$26:$B$29,MATCH(O85,Methodology!$A$26:$A$29,1)))</f>
        <v/>
      </c>
      <c r="Q85" s="36"/>
      <c r="R85" s="37" t="str">
        <f t="shared" si="25"/>
        <v/>
      </c>
      <c r="S85" s="37" t="str">
        <f>IF(D85="","",IFERROR(IF(OR(INDEX(Appetite!$I$6:$I$17,MATCH(D85,Appetite!$A$6:$A$17,0))="OK",INDEX(Appetite!$I$6:$I$17,MATCH(D85,Appetite!$A$6:$A$17,0))="Review overdue - approved"),INDEX(Appetite!$C$6:$C$17,MATCH(D85,Appetite!$A$6:$A$17,0)),""),""))</f>
        <v/>
      </c>
      <c r="T85" s="37" t="str">
        <f>IF(D85="","",IFERROR(IF(OR(INDEX(Appetite!$I$6:$I$17,MATCH(D85,Appetite!$A$6:$A$17,0))="OK",INDEX(Appetite!$I$6:$I$17,MATCH(D85,Appetite!$A$6:$A$17,0))="Review overdue - approved"),INDEX(Appetite!$D$6:$D$17,MATCH(D85,Appetite!$A$6:$A$17,0)),""),""))</f>
        <v/>
      </c>
      <c r="U85" s="38" t="str">
        <f>IF(A85="","",IF(H85="Invalid inherent ratings","Invalid inherent ratings",IF(O85="","Assessment missing",IF(COUNTIF(Appetite!$A$6:$A$17,D85)=0,"Configuration missing",IF(OR(S85="",T85=""),"Configuration: "&amp;INDEX(Appetite!$I$6:$I$17,MATCH(D85,Appetite!$A$6:$A$17,0)),IF(O85&gt;T85,"Tolerance breach",IF(O85&gt;S85,"Appetite breach","Within appetite")))))))</f>
        <v/>
      </c>
      <c r="V85" s="38" t="str">
        <f>IF(A85="","",IF(COUNTIFS('Risk Acceptance Register'!$B$6:$B$105,A85,'Risk Acceptance Register'!$I$6:$I$105,"Approved")&gt;0,"Yes","No"))</f>
        <v/>
      </c>
      <c r="W85" s="38" t="str">
        <f>IF(V85&lt;&gt;"Yes","",IFERROR(IF(COUNTIFS('Risk Acceptance Register'!$B$6:$B$105,A85,'Risk Acceptance Register'!$T$6:$T$105,"Eligible")&gt;0,LOOKUP(2,1/(('Risk Acceptance Register'!$B$6:$B$105=A85)*('Risk Acceptance Register'!$T$6:$T$105="Eligible")),'Risk Acceptance Register'!$J$6:$J$105),LOOKUP(2,1/(('Risk Acceptance Register'!$B$6:$B$105=A85)*('Risk Acceptance Register'!$I$6:$I$105="Approved")),'Risk Acceptance Register'!$J$6:$J$105))&amp;"",""))</f>
        <v/>
      </c>
      <c r="X85" s="39" t="str">
        <f>IF(V85&lt;&gt;"Yes","",IFERROR(IF(IF(COUNTIFS('Risk Acceptance Register'!$B$6:$B$105,A85,'Risk Acceptance Register'!$T$6:$T$105,"Eligible")&gt;0,LOOKUP(2,1/(('Risk Acceptance Register'!$B$6:$B$105=A85)*('Risk Acceptance Register'!$T$6:$T$105="Eligible")),'Risk Acceptance Register'!$M$6:$M$105),LOOKUP(2,1/(('Risk Acceptance Register'!$B$6:$B$105=A85)*('Risk Acceptance Register'!$I$6:$I$105="Approved")),'Risk Acceptance Register'!$M$6:$M$105))=0,"",IF(COUNTIFS('Risk Acceptance Register'!$B$6:$B$105,A85,'Risk Acceptance Register'!$T$6:$T$105,"Eligible")&gt;0,LOOKUP(2,1/(('Risk Acceptance Register'!$B$6:$B$105=A85)*('Risk Acceptance Register'!$T$6:$T$105="Eligible")),'Risk Acceptance Register'!$M$6:$M$105),LOOKUP(2,1/(('Risk Acceptance Register'!$B$6:$B$105=A85)*('Risk Acceptance Register'!$I$6:$I$105="Approved")),'Risk Acceptance Register'!$M$6:$M$105))),""))</f>
        <v/>
      </c>
      <c r="Y85" s="38" t="str">
        <f>IF(A85="","",IF(U85="Within appetite","Within appetite",IF(AND(U85&lt;&gt;"Appetite breach",U85&lt;&gt;"Tolerance breach"),U85,IF(COUNTIFS('Risk Acceptance Register'!$B$6:$B$105,A85,'Risk Acceptance Register'!$T$6:$T$105,"Eligible")&gt;0,"Breach - formally accepted",IF(V85="Yes",IF(X85="","Accepted - expiry not set",IF(X85&lt;Methodology!$B$4,"Acceptance expired - breach open","Breach - not accepted")),"Breach - not accepted")))))</f>
        <v/>
      </c>
      <c r="Z85" s="40"/>
      <c r="AA85" s="38" t="str">
        <f>IF(OR(A85="",Z85=""),"",IF(Z85&lt;Methodology!$B$4,"Overdue","On schedule"))</f>
        <v/>
      </c>
      <c r="AB85" s="38" t="str">
        <f>IF(OR(U85="",U85="Within appetite"),"",MAX(AB$5:AB84)+1)</f>
        <v/>
      </c>
      <c r="AC85" s="38" t="str">
        <f>IF(A85="","",COUNTIF('Treatment Tracker'!$B$6:$B$105,A85)-COUNTIFS('Treatment Tracker'!$B$6:$B$105,A85,'Treatment Tracker'!$H$6:$H$105,"Completed")-COUNTIFS('Treatment Tracker'!$B$6:$B$105,A85,'Treatment Tracker'!$H$6:$H$105,"Cancelled"))</f>
        <v/>
      </c>
      <c r="AD85" s="38" t="str">
        <f t="shared" si="26"/>
        <v/>
      </c>
      <c r="AE85" s="35"/>
      <c r="AF85" s="35"/>
      <c r="AG85" s="40"/>
      <c r="AH85" s="35"/>
      <c r="AI85" s="38" t="str">
        <f>IF(A85="","",IF(OR(K85="",L85=""),"No assessment",IF(OR(NOT(ISNUMBER(K85)),NOT(ISNUMBER(L85))),"Invalid residual ratings",IF(OR(K85&lt;1,K85&gt;5,L85&lt;1,L85&gt;5,INT(K85)&lt;&gt;K85,INT(L85)&lt;&gt;L85),"Invalid residual ratings",IF(OR(AE85="",AF85="",AG85="",AH85=""),"Incomplete evidence",IF(NOT(ISNUMBER(AG85)),"Invalid assessment date",IF(OR(AG85&gt;Methodology!$B$4,AG85&lt;=0),"Invalid assessment date",IF(AG85+Methodology!$B$3&lt;Methodology!$B$4,"Expired",IF(AL85&lt;&gt;"Approved","Approval not confirmed","Valid")))))))))</f>
        <v/>
      </c>
      <c r="AJ85" s="38" t="str">
        <f>IF(OR(F85="",G85=""),"",MAX(1,ROUND(F85*(1-IFERROR(INDEX(Methodology!$B$41:$B$44,MATCH(J85,Methodology!$A$41:$A$44,0)),0)),0))*G85)</f>
        <v/>
      </c>
      <c r="AK85" s="38" t="str">
        <f t="shared" si="27"/>
        <v/>
      </c>
      <c r="AL85" s="36"/>
    </row>
    <row r="86" spans="1:38" x14ac:dyDescent="0.35">
      <c r="A86" s="35"/>
      <c r="B86" s="24"/>
      <c r="C86" s="24"/>
      <c r="D86" s="35"/>
      <c r="E86" s="35"/>
      <c r="F86" s="36"/>
      <c r="G86" s="36"/>
      <c r="H86" s="37" t="str">
        <f t="shared" si="21"/>
        <v/>
      </c>
      <c r="I86" s="38" t="str">
        <f>IF(NOT(ISNUMBER(H86)),"",INDEX(Methodology!$B$26:$B$29,MATCH(H86,Methodology!$A$26:$A$29,1)))</f>
        <v/>
      </c>
      <c r="J86" s="35"/>
      <c r="K86" s="36"/>
      <c r="L86" s="36"/>
      <c r="M86" s="37" t="str">
        <f t="shared" si="22"/>
        <v/>
      </c>
      <c r="N86" s="37" t="str">
        <f t="shared" si="23"/>
        <v/>
      </c>
      <c r="O86" s="37" t="str">
        <f t="shared" si="24"/>
        <v/>
      </c>
      <c r="P86" s="38" t="str">
        <f>IF(O86="","",INDEX(Methodology!$B$26:$B$29,MATCH(O86,Methodology!$A$26:$A$29,1)))</f>
        <v/>
      </c>
      <c r="Q86" s="36"/>
      <c r="R86" s="37" t="str">
        <f t="shared" si="25"/>
        <v/>
      </c>
      <c r="S86" s="37" t="str">
        <f>IF(D86="","",IFERROR(IF(OR(INDEX(Appetite!$I$6:$I$17,MATCH(D86,Appetite!$A$6:$A$17,0))="OK",INDEX(Appetite!$I$6:$I$17,MATCH(D86,Appetite!$A$6:$A$17,0))="Review overdue - approved"),INDEX(Appetite!$C$6:$C$17,MATCH(D86,Appetite!$A$6:$A$17,0)),""),""))</f>
        <v/>
      </c>
      <c r="T86" s="37" t="str">
        <f>IF(D86="","",IFERROR(IF(OR(INDEX(Appetite!$I$6:$I$17,MATCH(D86,Appetite!$A$6:$A$17,0))="OK",INDEX(Appetite!$I$6:$I$17,MATCH(D86,Appetite!$A$6:$A$17,0))="Review overdue - approved"),INDEX(Appetite!$D$6:$D$17,MATCH(D86,Appetite!$A$6:$A$17,0)),""),""))</f>
        <v/>
      </c>
      <c r="U86" s="38" t="str">
        <f>IF(A86="","",IF(H86="Invalid inherent ratings","Invalid inherent ratings",IF(O86="","Assessment missing",IF(COUNTIF(Appetite!$A$6:$A$17,D86)=0,"Configuration missing",IF(OR(S86="",T86=""),"Configuration: "&amp;INDEX(Appetite!$I$6:$I$17,MATCH(D86,Appetite!$A$6:$A$17,0)),IF(O86&gt;T86,"Tolerance breach",IF(O86&gt;S86,"Appetite breach","Within appetite")))))))</f>
        <v/>
      </c>
      <c r="V86" s="38" t="str">
        <f>IF(A86="","",IF(COUNTIFS('Risk Acceptance Register'!$B$6:$B$105,A86,'Risk Acceptance Register'!$I$6:$I$105,"Approved")&gt;0,"Yes","No"))</f>
        <v/>
      </c>
      <c r="W86" s="38" t="str">
        <f>IF(V86&lt;&gt;"Yes","",IFERROR(IF(COUNTIFS('Risk Acceptance Register'!$B$6:$B$105,A86,'Risk Acceptance Register'!$T$6:$T$105,"Eligible")&gt;0,LOOKUP(2,1/(('Risk Acceptance Register'!$B$6:$B$105=A86)*('Risk Acceptance Register'!$T$6:$T$105="Eligible")),'Risk Acceptance Register'!$J$6:$J$105),LOOKUP(2,1/(('Risk Acceptance Register'!$B$6:$B$105=A86)*('Risk Acceptance Register'!$I$6:$I$105="Approved")),'Risk Acceptance Register'!$J$6:$J$105))&amp;"",""))</f>
        <v/>
      </c>
      <c r="X86" s="39" t="str">
        <f>IF(V86&lt;&gt;"Yes","",IFERROR(IF(IF(COUNTIFS('Risk Acceptance Register'!$B$6:$B$105,A86,'Risk Acceptance Register'!$T$6:$T$105,"Eligible")&gt;0,LOOKUP(2,1/(('Risk Acceptance Register'!$B$6:$B$105=A86)*('Risk Acceptance Register'!$T$6:$T$105="Eligible")),'Risk Acceptance Register'!$M$6:$M$105),LOOKUP(2,1/(('Risk Acceptance Register'!$B$6:$B$105=A86)*('Risk Acceptance Register'!$I$6:$I$105="Approved")),'Risk Acceptance Register'!$M$6:$M$105))=0,"",IF(COUNTIFS('Risk Acceptance Register'!$B$6:$B$105,A86,'Risk Acceptance Register'!$T$6:$T$105,"Eligible")&gt;0,LOOKUP(2,1/(('Risk Acceptance Register'!$B$6:$B$105=A86)*('Risk Acceptance Register'!$T$6:$T$105="Eligible")),'Risk Acceptance Register'!$M$6:$M$105),LOOKUP(2,1/(('Risk Acceptance Register'!$B$6:$B$105=A86)*('Risk Acceptance Register'!$I$6:$I$105="Approved")),'Risk Acceptance Register'!$M$6:$M$105))),""))</f>
        <v/>
      </c>
      <c r="Y86" s="38" t="str">
        <f>IF(A86="","",IF(U86="Within appetite","Within appetite",IF(AND(U86&lt;&gt;"Appetite breach",U86&lt;&gt;"Tolerance breach"),U86,IF(COUNTIFS('Risk Acceptance Register'!$B$6:$B$105,A86,'Risk Acceptance Register'!$T$6:$T$105,"Eligible")&gt;0,"Breach - formally accepted",IF(V86="Yes",IF(X86="","Accepted - expiry not set",IF(X86&lt;Methodology!$B$4,"Acceptance expired - breach open","Breach - not accepted")),"Breach - not accepted")))))</f>
        <v/>
      </c>
      <c r="Z86" s="40"/>
      <c r="AA86" s="38" t="str">
        <f>IF(OR(A86="",Z86=""),"",IF(Z86&lt;Methodology!$B$4,"Overdue","On schedule"))</f>
        <v/>
      </c>
      <c r="AB86" s="38" t="str">
        <f>IF(OR(U86="",U86="Within appetite"),"",MAX(AB$5:AB85)+1)</f>
        <v/>
      </c>
      <c r="AC86" s="38" t="str">
        <f>IF(A86="","",COUNTIF('Treatment Tracker'!$B$6:$B$105,A86)-COUNTIFS('Treatment Tracker'!$B$6:$B$105,A86,'Treatment Tracker'!$H$6:$H$105,"Completed")-COUNTIFS('Treatment Tracker'!$B$6:$B$105,A86,'Treatment Tracker'!$H$6:$H$105,"Cancelled"))</f>
        <v/>
      </c>
      <c r="AD86" s="38" t="str">
        <f t="shared" si="26"/>
        <v/>
      </c>
      <c r="AE86" s="35"/>
      <c r="AF86" s="35"/>
      <c r="AG86" s="40"/>
      <c r="AH86" s="35"/>
      <c r="AI86" s="38" t="str">
        <f>IF(A86="","",IF(OR(K86="",L86=""),"No assessment",IF(OR(NOT(ISNUMBER(K86)),NOT(ISNUMBER(L86))),"Invalid residual ratings",IF(OR(K86&lt;1,K86&gt;5,L86&lt;1,L86&gt;5,INT(K86)&lt;&gt;K86,INT(L86)&lt;&gt;L86),"Invalid residual ratings",IF(OR(AE86="",AF86="",AG86="",AH86=""),"Incomplete evidence",IF(NOT(ISNUMBER(AG86)),"Invalid assessment date",IF(OR(AG86&gt;Methodology!$B$4,AG86&lt;=0),"Invalid assessment date",IF(AG86+Methodology!$B$3&lt;Methodology!$B$4,"Expired",IF(AL86&lt;&gt;"Approved","Approval not confirmed","Valid")))))))))</f>
        <v/>
      </c>
      <c r="AJ86" s="38" t="str">
        <f>IF(OR(F86="",G86=""),"",MAX(1,ROUND(F86*(1-IFERROR(INDEX(Methodology!$B$41:$B$44,MATCH(J86,Methodology!$A$41:$A$44,0)),0)),0))*G86)</f>
        <v/>
      </c>
      <c r="AK86" s="38" t="str">
        <f t="shared" si="27"/>
        <v/>
      </c>
      <c r="AL86" s="36"/>
    </row>
    <row r="87" spans="1:38" x14ac:dyDescent="0.35">
      <c r="A87" s="35"/>
      <c r="B87" s="24"/>
      <c r="C87" s="24"/>
      <c r="D87" s="35"/>
      <c r="E87" s="35"/>
      <c r="F87" s="36"/>
      <c r="G87" s="36"/>
      <c r="H87" s="37" t="str">
        <f t="shared" si="21"/>
        <v/>
      </c>
      <c r="I87" s="38" t="str">
        <f>IF(NOT(ISNUMBER(H87)),"",INDEX(Methodology!$B$26:$B$29,MATCH(H87,Methodology!$A$26:$A$29,1)))</f>
        <v/>
      </c>
      <c r="J87" s="35"/>
      <c r="K87" s="36"/>
      <c r="L87" s="36"/>
      <c r="M87" s="37" t="str">
        <f t="shared" si="22"/>
        <v/>
      </c>
      <c r="N87" s="37" t="str">
        <f t="shared" si="23"/>
        <v/>
      </c>
      <c r="O87" s="37" t="str">
        <f t="shared" si="24"/>
        <v/>
      </c>
      <c r="P87" s="38" t="str">
        <f>IF(O87="","",INDEX(Methodology!$B$26:$B$29,MATCH(O87,Methodology!$A$26:$A$29,1)))</f>
        <v/>
      </c>
      <c r="Q87" s="36"/>
      <c r="R87" s="37" t="str">
        <f t="shared" si="25"/>
        <v/>
      </c>
      <c r="S87" s="37" t="str">
        <f>IF(D87="","",IFERROR(IF(OR(INDEX(Appetite!$I$6:$I$17,MATCH(D87,Appetite!$A$6:$A$17,0))="OK",INDEX(Appetite!$I$6:$I$17,MATCH(D87,Appetite!$A$6:$A$17,0))="Review overdue - approved"),INDEX(Appetite!$C$6:$C$17,MATCH(D87,Appetite!$A$6:$A$17,0)),""),""))</f>
        <v/>
      </c>
      <c r="T87" s="37" t="str">
        <f>IF(D87="","",IFERROR(IF(OR(INDEX(Appetite!$I$6:$I$17,MATCH(D87,Appetite!$A$6:$A$17,0))="OK",INDEX(Appetite!$I$6:$I$17,MATCH(D87,Appetite!$A$6:$A$17,0))="Review overdue - approved"),INDEX(Appetite!$D$6:$D$17,MATCH(D87,Appetite!$A$6:$A$17,0)),""),""))</f>
        <v/>
      </c>
      <c r="U87" s="38" t="str">
        <f>IF(A87="","",IF(H87="Invalid inherent ratings","Invalid inherent ratings",IF(O87="","Assessment missing",IF(COUNTIF(Appetite!$A$6:$A$17,D87)=0,"Configuration missing",IF(OR(S87="",T87=""),"Configuration: "&amp;INDEX(Appetite!$I$6:$I$17,MATCH(D87,Appetite!$A$6:$A$17,0)),IF(O87&gt;T87,"Tolerance breach",IF(O87&gt;S87,"Appetite breach","Within appetite")))))))</f>
        <v/>
      </c>
      <c r="V87" s="38" t="str">
        <f>IF(A87="","",IF(COUNTIFS('Risk Acceptance Register'!$B$6:$B$105,A87,'Risk Acceptance Register'!$I$6:$I$105,"Approved")&gt;0,"Yes","No"))</f>
        <v/>
      </c>
      <c r="W87" s="38" t="str">
        <f>IF(V87&lt;&gt;"Yes","",IFERROR(IF(COUNTIFS('Risk Acceptance Register'!$B$6:$B$105,A87,'Risk Acceptance Register'!$T$6:$T$105,"Eligible")&gt;0,LOOKUP(2,1/(('Risk Acceptance Register'!$B$6:$B$105=A87)*('Risk Acceptance Register'!$T$6:$T$105="Eligible")),'Risk Acceptance Register'!$J$6:$J$105),LOOKUP(2,1/(('Risk Acceptance Register'!$B$6:$B$105=A87)*('Risk Acceptance Register'!$I$6:$I$105="Approved")),'Risk Acceptance Register'!$J$6:$J$105))&amp;"",""))</f>
        <v/>
      </c>
      <c r="X87" s="39" t="str">
        <f>IF(V87&lt;&gt;"Yes","",IFERROR(IF(IF(COUNTIFS('Risk Acceptance Register'!$B$6:$B$105,A87,'Risk Acceptance Register'!$T$6:$T$105,"Eligible")&gt;0,LOOKUP(2,1/(('Risk Acceptance Register'!$B$6:$B$105=A87)*('Risk Acceptance Register'!$T$6:$T$105="Eligible")),'Risk Acceptance Register'!$M$6:$M$105),LOOKUP(2,1/(('Risk Acceptance Register'!$B$6:$B$105=A87)*('Risk Acceptance Register'!$I$6:$I$105="Approved")),'Risk Acceptance Register'!$M$6:$M$105))=0,"",IF(COUNTIFS('Risk Acceptance Register'!$B$6:$B$105,A87,'Risk Acceptance Register'!$T$6:$T$105,"Eligible")&gt;0,LOOKUP(2,1/(('Risk Acceptance Register'!$B$6:$B$105=A87)*('Risk Acceptance Register'!$T$6:$T$105="Eligible")),'Risk Acceptance Register'!$M$6:$M$105),LOOKUP(2,1/(('Risk Acceptance Register'!$B$6:$B$105=A87)*('Risk Acceptance Register'!$I$6:$I$105="Approved")),'Risk Acceptance Register'!$M$6:$M$105))),""))</f>
        <v/>
      </c>
      <c r="Y87" s="38" t="str">
        <f>IF(A87="","",IF(U87="Within appetite","Within appetite",IF(AND(U87&lt;&gt;"Appetite breach",U87&lt;&gt;"Tolerance breach"),U87,IF(COUNTIFS('Risk Acceptance Register'!$B$6:$B$105,A87,'Risk Acceptance Register'!$T$6:$T$105,"Eligible")&gt;0,"Breach - formally accepted",IF(V87="Yes",IF(X87="","Accepted - expiry not set",IF(X87&lt;Methodology!$B$4,"Acceptance expired - breach open","Breach - not accepted")),"Breach - not accepted")))))</f>
        <v/>
      </c>
      <c r="Z87" s="40"/>
      <c r="AA87" s="38" t="str">
        <f>IF(OR(A87="",Z87=""),"",IF(Z87&lt;Methodology!$B$4,"Overdue","On schedule"))</f>
        <v/>
      </c>
      <c r="AB87" s="38" t="str">
        <f>IF(OR(U87="",U87="Within appetite"),"",MAX(AB$5:AB86)+1)</f>
        <v/>
      </c>
      <c r="AC87" s="38" t="str">
        <f>IF(A87="","",COUNTIF('Treatment Tracker'!$B$6:$B$105,A87)-COUNTIFS('Treatment Tracker'!$B$6:$B$105,A87,'Treatment Tracker'!$H$6:$H$105,"Completed")-COUNTIFS('Treatment Tracker'!$B$6:$B$105,A87,'Treatment Tracker'!$H$6:$H$105,"Cancelled"))</f>
        <v/>
      </c>
      <c r="AD87" s="38" t="str">
        <f t="shared" si="26"/>
        <v/>
      </c>
      <c r="AE87" s="35"/>
      <c r="AF87" s="35"/>
      <c r="AG87" s="40"/>
      <c r="AH87" s="35"/>
      <c r="AI87" s="38" t="str">
        <f>IF(A87="","",IF(OR(K87="",L87=""),"No assessment",IF(OR(NOT(ISNUMBER(K87)),NOT(ISNUMBER(L87))),"Invalid residual ratings",IF(OR(K87&lt;1,K87&gt;5,L87&lt;1,L87&gt;5,INT(K87)&lt;&gt;K87,INT(L87)&lt;&gt;L87),"Invalid residual ratings",IF(OR(AE87="",AF87="",AG87="",AH87=""),"Incomplete evidence",IF(NOT(ISNUMBER(AG87)),"Invalid assessment date",IF(OR(AG87&gt;Methodology!$B$4,AG87&lt;=0),"Invalid assessment date",IF(AG87+Methodology!$B$3&lt;Methodology!$B$4,"Expired",IF(AL87&lt;&gt;"Approved","Approval not confirmed","Valid")))))))))</f>
        <v/>
      </c>
      <c r="AJ87" s="38" t="str">
        <f>IF(OR(F87="",G87=""),"",MAX(1,ROUND(F87*(1-IFERROR(INDEX(Methodology!$B$41:$B$44,MATCH(J87,Methodology!$A$41:$A$44,0)),0)),0))*G87)</f>
        <v/>
      </c>
      <c r="AK87" s="38" t="str">
        <f t="shared" si="27"/>
        <v/>
      </c>
      <c r="AL87" s="36"/>
    </row>
    <row r="88" spans="1:38" x14ac:dyDescent="0.35">
      <c r="A88" s="35"/>
      <c r="B88" s="24"/>
      <c r="C88" s="24"/>
      <c r="D88" s="35"/>
      <c r="E88" s="35"/>
      <c r="F88" s="36"/>
      <c r="G88" s="36"/>
      <c r="H88" s="37" t="str">
        <f t="shared" si="21"/>
        <v/>
      </c>
      <c r="I88" s="38" t="str">
        <f>IF(NOT(ISNUMBER(H88)),"",INDEX(Methodology!$B$26:$B$29,MATCH(H88,Methodology!$A$26:$A$29,1)))</f>
        <v/>
      </c>
      <c r="J88" s="35"/>
      <c r="K88" s="36"/>
      <c r="L88" s="36"/>
      <c r="M88" s="37" t="str">
        <f t="shared" si="22"/>
        <v/>
      </c>
      <c r="N88" s="37" t="str">
        <f t="shared" si="23"/>
        <v/>
      </c>
      <c r="O88" s="37" t="str">
        <f t="shared" si="24"/>
        <v/>
      </c>
      <c r="P88" s="38" t="str">
        <f>IF(O88="","",INDEX(Methodology!$B$26:$B$29,MATCH(O88,Methodology!$A$26:$A$29,1)))</f>
        <v/>
      </c>
      <c r="Q88" s="36"/>
      <c r="R88" s="37" t="str">
        <f t="shared" si="25"/>
        <v/>
      </c>
      <c r="S88" s="37" t="str">
        <f>IF(D88="","",IFERROR(IF(OR(INDEX(Appetite!$I$6:$I$17,MATCH(D88,Appetite!$A$6:$A$17,0))="OK",INDEX(Appetite!$I$6:$I$17,MATCH(D88,Appetite!$A$6:$A$17,0))="Review overdue - approved"),INDEX(Appetite!$C$6:$C$17,MATCH(D88,Appetite!$A$6:$A$17,0)),""),""))</f>
        <v/>
      </c>
      <c r="T88" s="37" t="str">
        <f>IF(D88="","",IFERROR(IF(OR(INDEX(Appetite!$I$6:$I$17,MATCH(D88,Appetite!$A$6:$A$17,0))="OK",INDEX(Appetite!$I$6:$I$17,MATCH(D88,Appetite!$A$6:$A$17,0))="Review overdue - approved"),INDEX(Appetite!$D$6:$D$17,MATCH(D88,Appetite!$A$6:$A$17,0)),""),""))</f>
        <v/>
      </c>
      <c r="U88" s="38" t="str">
        <f>IF(A88="","",IF(H88="Invalid inherent ratings","Invalid inherent ratings",IF(O88="","Assessment missing",IF(COUNTIF(Appetite!$A$6:$A$17,D88)=0,"Configuration missing",IF(OR(S88="",T88=""),"Configuration: "&amp;INDEX(Appetite!$I$6:$I$17,MATCH(D88,Appetite!$A$6:$A$17,0)),IF(O88&gt;T88,"Tolerance breach",IF(O88&gt;S88,"Appetite breach","Within appetite")))))))</f>
        <v/>
      </c>
      <c r="V88" s="38" t="str">
        <f>IF(A88="","",IF(COUNTIFS('Risk Acceptance Register'!$B$6:$B$105,A88,'Risk Acceptance Register'!$I$6:$I$105,"Approved")&gt;0,"Yes","No"))</f>
        <v/>
      </c>
      <c r="W88" s="38" t="str">
        <f>IF(V88&lt;&gt;"Yes","",IFERROR(IF(COUNTIFS('Risk Acceptance Register'!$B$6:$B$105,A88,'Risk Acceptance Register'!$T$6:$T$105,"Eligible")&gt;0,LOOKUP(2,1/(('Risk Acceptance Register'!$B$6:$B$105=A88)*('Risk Acceptance Register'!$T$6:$T$105="Eligible")),'Risk Acceptance Register'!$J$6:$J$105),LOOKUP(2,1/(('Risk Acceptance Register'!$B$6:$B$105=A88)*('Risk Acceptance Register'!$I$6:$I$105="Approved")),'Risk Acceptance Register'!$J$6:$J$105))&amp;"",""))</f>
        <v/>
      </c>
      <c r="X88" s="39" t="str">
        <f>IF(V88&lt;&gt;"Yes","",IFERROR(IF(IF(COUNTIFS('Risk Acceptance Register'!$B$6:$B$105,A88,'Risk Acceptance Register'!$T$6:$T$105,"Eligible")&gt;0,LOOKUP(2,1/(('Risk Acceptance Register'!$B$6:$B$105=A88)*('Risk Acceptance Register'!$T$6:$T$105="Eligible")),'Risk Acceptance Register'!$M$6:$M$105),LOOKUP(2,1/(('Risk Acceptance Register'!$B$6:$B$105=A88)*('Risk Acceptance Register'!$I$6:$I$105="Approved")),'Risk Acceptance Register'!$M$6:$M$105))=0,"",IF(COUNTIFS('Risk Acceptance Register'!$B$6:$B$105,A88,'Risk Acceptance Register'!$T$6:$T$105,"Eligible")&gt;0,LOOKUP(2,1/(('Risk Acceptance Register'!$B$6:$B$105=A88)*('Risk Acceptance Register'!$T$6:$T$105="Eligible")),'Risk Acceptance Register'!$M$6:$M$105),LOOKUP(2,1/(('Risk Acceptance Register'!$B$6:$B$105=A88)*('Risk Acceptance Register'!$I$6:$I$105="Approved")),'Risk Acceptance Register'!$M$6:$M$105))),""))</f>
        <v/>
      </c>
      <c r="Y88" s="38" t="str">
        <f>IF(A88="","",IF(U88="Within appetite","Within appetite",IF(AND(U88&lt;&gt;"Appetite breach",U88&lt;&gt;"Tolerance breach"),U88,IF(COUNTIFS('Risk Acceptance Register'!$B$6:$B$105,A88,'Risk Acceptance Register'!$T$6:$T$105,"Eligible")&gt;0,"Breach - formally accepted",IF(V88="Yes",IF(X88="","Accepted - expiry not set",IF(X88&lt;Methodology!$B$4,"Acceptance expired - breach open","Breach - not accepted")),"Breach - not accepted")))))</f>
        <v/>
      </c>
      <c r="Z88" s="40"/>
      <c r="AA88" s="38" t="str">
        <f>IF(OR(A88="",Z88=""),"",IF(Z88&lt;Methodology!$B$4,"Overdue","On schedule"))</f>
        <v/>
      </c>
      <c r="AB88" s="38" t="str">
        <f>IF(OR(U88="",U88="Within appetite"),"",MAX(AB$5:AB87)+1)</f>
        <v/>
      </c>
      <c r="AC88" s="38" t="str">
        <f>IF(A88="","",COUNTIF('Treatment Tracker'!$B$6:$B$105,A88)-COUNTIFS('Treatment Tracker'!$B$6:$B$105,A88,'Treatment Tracker'!$H$6:$H$105,"Completed")-COUNTIFS('Treatment Tracker'!$B$6:$B$105,A88,'Treatment Tracker'!$H$6:$H$105,"Cancelled"))</f>
        <v/>
      </c>
      <c r="AD88" s="38" t="str">
        <f t="shared" si="26"/>
        <v/>
      </c>
      <c r="AE88" s="35"/>
      <c r="AF88" s="35"/>
      <c r="AG88" s="40"/>
      <c r="AH88" s="35"/>
      <c r="AI88" s="38" t="str">
        <f>IF(A88="","",IF(OR(K88="",L88=""),"No assessment",IF(OR(NOT(ISNUMBER(K88)),NOT(ISNUMBER(L88))),"Invalid residual ratings",IF(OR(K88&lt;1,K88&gt;5,L88&lt;1,L88&gt;5,INT(K88)&lt;&gt;K88,INT(L88)&lt;&gt;L88),"Invalid residual ratings",IF(OR(AE88="",AF88="",AG88="",AH88=""),"Incomplete evidence",IF(NOT(ISNUMBER(AG88)),"Invalid assessment date",IF(OR(AG88&gt;Methodology!$B$4,AG88&lt;=0),"Invalid assessment date",IF(AG88+Methodology!$B$3&lt;Methodology!$B$4,"Expired",IF(AL88&lt;&gt;"Approved","Approval not confirmed","Valid")))))))))</f>
        <v/>
      </c>
      <c r="AJ88" s="38" t="str">
        <f>IF(OR(F88="",G88=""),"",MAX(1,ROUND(F88*(1-IFERROR(INDEX(Methodology!$B$41:$B$44,MATCH(J88,Methodology!$A$41:$A$44,0)),0)),0))*G88)</f>
        <v/>
      </c>
      <c r="AK88" s="38" t="str">
        <f t="shared" si="27"/>
        <v/>
      </c>
      <c r="AL88" s="36"/>
    </row>
    <row r="89" spans="1:38" x14ac:dyDescent="0.35">
      <c r="A89" s="35"/>
      <c r="B89" s="24"/>
      <c r="C89" s="24"/>
      <c r="D89" s="35"/>
      <c r="E89" s="35"/>
      <c r="F89" s="36"/>
      <c r="G89" s="36"/>
      <c r="H89" s="37" t="str">
        <f t="shared" si="21"/>
        <v/>
      </c>
      <c r="I89" s="38" t="str">
        <f>IF(NOT(ISNUMBER(H89)),"",INDEX(Methodology!$B$26:$B$29,MATCH(H89,Methodology!$A$26:$A$29,1)))</f>
        <v/>
      </c>
      <c r="J89" s="35"/>
      <c r="K89" s="36"/>
      <c r="L89" s="36"/>
      <c r="M89" s="37" t="str">
        <f t="shared" si="22"/>
        <v/>
      </c>
      <c r="N89" s="37" t="str">
        <f t="shared" si="23"/>
        <v/>
      </c>
      <c r="O89" s="37" t="str">
        <f t="shared" si="24"/>
        <v/>
      </c>
      <c r="P89" s="38" t="str">
        <f>IF(O89="","",INDEX(Methodology!$B$26:$B$29,MATCH(O89,Methodology!$A$26:$A$29,1)))</f>
        <v/>
      </c>
      <c r="Q89" s="36"/>
      <c r="R89" s="37" t="str">
        <f t="shared" si="25"/>
        <v/>
      </c>
      <c r="S89" s="37" t="str">
        <f>IF(D89="","",IFERROR(IF(OR(INDEX(Appetite!$I$6:$I$17,MATCH(D89,Appetite!$A$6:$A$17,0))="OK",INDEX(Appetite!$I$6:$I$17,MATCH(D89,Appetite!$A$6:$A$17,0))="Review overdue - approved"),INDEX(Appetite!$C$6:$C$17,MATCH(D89,Appetite!$A$6:$A$17,0)),""),""))</f>
        <v/>
      </c>
      <c r="T89" s="37" t="str">
        <f>IF(D89="","",IFERROR(IF(OR(INDEX(Appetite!$I$6:$I$17,MATCH(D89,Appetite!$A$6:$A$17,0))="OK",INDEX(Appetite!$I$6:$I$17,MATCH(D89,Appetite!$A$6:$A$17,0))="Review overdue - approved"),INDEX(Appetite!$D$6:$D$17,MATCH(D89,Appetite!$A$6:$A$17,0)),""),""))</f>
        <v/>
      </c>
      <c r="U89" s="38" t="str">
        <f>IF(A89="","",IF(H89="Invalid inherent ratings","Invalid inherent ratings",IF(O89="","Assessment missing",IF(COUNTIF(Appetite!$A$6:$A$17,D89)=0,"Configuration missing",IF(OR(S89="",T89=""),"Configuration: "&amp;INDEX(Appetite!$I$6:$I$17,MATCH(D89,Appetite!$A$6:$A$17,0)),IF(O89&gt;T89,"Tolerance breach",IF(O89&gt;S89,"Appetite breach","Within appetite")))))))</f>
        <v/>
      </c>
      <c r="V89" s="38" t="str">
        <f>IF(A89="","",IF(COUNTIFS('Risk Acceptance Register'!$B$6:$B$105,A89,'Risk Acceptance Register'!$I$6:$I$105,"Approved")&gt;0,"Yes","No"))</f>
        <v/>
      </c>
      <c r="W89" s="38" t="str">
        <f>IF(V89&lt;&gt;"Yes","",IFERROR(IF(COUNTIFS('Risk Acceptance Register'!$B$6:$B$105,A89,'Risk Acceptance Register'!$T$6:$T$105,"Eligible")&gt;0,LOOKUP(2,1/(('Risk Acceptance Register'!$B$6:$B$105=A89)*('Risk Acceptance Register'!$T$6:$T$105="Eligible")),'Risk Acceptance Register'!$J$6:$J$105),LOOKUP(2,1/(('Risk Acceptance Register'!$B$6:$B$105=A89)*('Risk Acceptance Register'!$I$6:$I$105="Approved")),'Risk Acceptance Register'!$J$6:$J$105))&amp;"",""))</f>
        <v/>
      </c>
      <c r="X89" s="39" t="str">
        <f>IF(V89&lt;&gt;"Yes","",IFERROR(IF(IF(COUNTIFS('Risk Acceptance Register'!$B$6:$B$105,A89,'Risk Acceptance Register'!$T$6:$T$105,"Eligible")&gt;0,LOOKUP(2,1/(('Risk Acceptance Register'!$B$6:$B$105=A89)*('Risk Acceptance Register'!$T$6:$T$105="Eligible")),'Risk Acceptance Register'!$M$6:$M$105),LOOKUP(2,1/(('Risk Acceptance Register'!$B$6:$B$105=A89)*('Risk Acceptance Register'!$I$6:$I$105="Approved")),'Risk Acceptance Register'!$M$6:$M$105))=0,"",IF(COUNTIFS('Risk Acceptance Register'!$B$6:$B$105,A89,'Risk Acceptance Register'!$T$6:$T$105,"Eligible")&gt;0,LOOKUP(2,1/(('Risk Acceptance Register'!$B$6:$B$105=A89)*('Risk Acceptance Register'!$T$6:$T$105="Eligible")),'Risk Acceptance Register'!$M$6:$M$105),LOOKUP(2,1/(('Risk Acceptance Register'!$B$6:$B$105=A89)*('Risk Acceptance Register'!$I$6:$I$105="Approved")),'Risk Acceptance Register'!$M$6:$M$105))),""))</f>
        <v/>
      </c>
      <c r="Y89" s="38" t="str">
        <f>IF(A89="","",IF(U89="Within appetite","Within appetite",IF(AND(U89&lt;&gt;"Appetite breach",U89&lt;&gt;"Tolerance breach"),U89,IF(COUNTIFS('Risk Acceptance Register'!$B$6:$B$105,A89,'Risk Acceptance Register'!$T$6:$T$105,"Eligible")&gt;0,"Breach - formally accepted",IF(V89="Yes",IF(X89="","Accepted - expiry not set",IF(X89&lt;Methodology!$B$4,"Acceptance expired - breach open","Breach - not accepted")),"Breach - not accepted")))))</f>
        <v/>
      </c>
      <c r="Z89" s="40"/>
      <c r="AA89" s="38" t="str">
        <f>IF(OR(A89="",Z89=""),"",IF(Z89&lt;Methodology!$B$4,"Overdue","On schedule"))</f>
        <v/>
      </c>
      <c r="AB89" s="38" t="str">
        <f>IF(OR(U89="",U89="Within appetite"),"",MAX(AB$5:AB88)+1)</f>
        <v/>
      </c>
      <c r="AC89" s="38" t="str">
        <f>IF(A89="","",COUNTIF('Treatment Tracker'!$B$6:$B$105,A89)-COUNTIFS('Treatment Tracker'!$B$6:$B$105,A89,'Treatment Tracker'!$H$6:$H$105,"Completed")-COUNTIFS('Treatment Tracker'!$B$6:$B$105,A89,'Treatment Tracker'!$H$6:$H$105,"Cancelled"))</f>
        <v/>
      </c>
      <c r="AD89" s="38" t="str">
        <f t="shared" si="26"/>
        <v/>
      </c>
      <c r="AE89" s="35"/>
      <c r="AF89" s="35"/>
      <c r="AG89" s="40"/>
      <c r="AH89" s="35"/>
      <c r="AI89" s="38" t="str">
        <f>IF(A89="","",IF(OR(K89="",L89=""),"No assessment",IF(OR(NOT(ISNUMBER(K89)),NOT(ISNUMBER(L89))),"Invalid residual ratings",IF(OR(K89&lt;1,K89&gt;5,L89&lt;1,L89&gt;5,INT(K89)&lt;&gt;K89,INT(L89)&lt;&gt;L89),"Invalid residual ratings",IF(OR(AE89="",AF89="",AG89="",AH89=""),"Incomplete evidence",IF(NOT(ISNUMBER(AG89)),"Invalid assessment date",IF(OR(AG89&gt;Methodology!$B$4,AG89&lt;=0),"Invalid assessment date",IF(AG89+Methodology!$B$3&lt;Methodology!$B$4,"Expired",IF(AL89&lt;&gt;"Approved","Approval not confirmed","Valid")))))))))</f>
        <v/>
      </c>
      <c r="AJ89" s="38" t="str">
        <f>IF(OR(F89="",G89=""),"",MAX(1,ROUND(F89*(1-IFERROR(INDEX(Methodology!$B$41:$B$44,MATCH(J89,Methodology!$A$41:$A$44,0)),0)),0))*G89)</f>
        <v/>
      </c>
      <c r="AK89" s="38" t="str">
        <f t="shared" si="27"/>
        <v/>
      </c>
      <c r="AL89" s="36"/>
    </row>
    <row r="90" spans="1:38" x14ac:dyDescent="0.35">
      <c r="A90" s="35"/>
      <c r="B90" s="24"/>
      <c r="C90" s="24"/>
      <c r="D90" s="35"/>
      <c r="E90" s="35"/>
      <c r="F90" s="36"/>
      <c r="G90" s="36"/>
      <c r="H90" s="37" t="str">
        <f t="shared" si="21"/>
        <v/>
      </c>
      <c r="I90" s="38" t="str">
        <f>IF(NOT(ISNUMBER(H90)),"",INDEX(Methodology!$B$26:$B$29,MATCH(H90,Methodology!$A$26:$A$29,1)))</f>
        <v/>
      </c>
      <c r="J90" s="35"/>
      <c r="K90" s="36"/>
      <c r="L90" s="36"/>
      <c r="M90" s="37" t="str">
        <f t="shared" si="22"/>
        <v/>
      </c>
      <c r="N90" s="37" t="str">
        <f t="shared" si="23"/>
        <v/>
      </c>
      <c r="O90" s="37" t="str">
        <f t="shared" si="24"/>
        <v/>
      </c>
      <c r="P90" s="38" t="str">
        <f>IF(O90="","",INDEX(Methodology!$B$26:$B$29,MATCH(O90,Methodology!$A$26:$A$29,1)))</f>
        <v/>
      </c>
      <c r="Q90" s="36"/>
      <c r="R90" s="37" t="str">
        <f t="shared" si="25"/>
        <v/>
      </c>
      <c r="S90" s="37" t="str">
        <f>IF(D90="","",IFERROR(IF(OR(INDEX(Appetite!$I$6:$I$17,MATCH(D90,Appetite!$A$6:$A$17,0))="OK",INDEX(Appetite!$I$6:$I$17,MATCH(D90,Appetite!$A$6:$A$17,0))="Review overdue - approved"),INDEX(Appetite!$C$6:$C$17,MATCH(D90,Appetite!$A$6:$A$17,0)),""),""))</f>
        <v/>
      </c>
      <c r="T90" s="37" t="str">
        <f>IF(D90="","",IFERROR(IF(OR(INDEX(Appetite!$I$6:$I$17,MATCH(D90,Appetite!$A$6:$A$17,0))="OK",INDEX(Appetite!$I$6:$I$17,MATCH(D90,Appetite!$A$6:$A$17,0))="Review overdue - approved"),INDEX(Appetite!$D$6:$D$17,MATCH(D90,Appetite!$A$6:$A$17,0)),""),""))</f>
        <v/>
      </c>
      <c r="U90" s="38" t="str">
        <f>IF(A90="","",IF(H90="Invalid inherent ratings","Invalid inherent ratings",IF(O90="","Assessment missing",IF(COUNTIF(Appetite!$A$6:$A$17,D90)=0,"Configuration missing",IF(OR(S90="",T90=""),"Configuration: "&amp;INDEX(Appetite!$I$6:$I$17,MATCH(D90,Appetite!$A$6:$A$17,0)),IF(O90&gt;T90,"Tolerance breach",IF(O90&gt;S90,"Appetite breach","Within appetite")))))))</f>
        <v/>
      </c>
      <c r="V90" s="38" t="str">
        <f>IF(A90="","",IF(COUNTIFS('Risk Acceptance Register'!$B$6:$B$105,A90,'Risk Acceptance Register'!$I$6:$I$105,"Approved")&gt;0,"Yes","No"))</f>
        <v/>
      </c>
      <c r="W90" s="38" t="str">
        <f>IF(V90&lt;&gt;"Yes","",IFERROR(IF(COUNTIFS('Risk Acceptance Register'!$B$6:$B$105,A90,'Risk Acceptance Register'!$T$6:$T$105,"Eligible")&gt;0,LOOKUP(2,1/(('Risk Acceptance Register'!$B$6:$B$105=A90)*('Risk Acceptance Register'!$T$6:$T$105="Eligible")),'Risk Acceptance Register'!$J$6:$J$105),LOOKUP(2,1/(('Risk Acceptance Register'!$B$6:$B$105=A90)*('Risk Acceptance Register'!$I$6:$I$105="Approved")),'Risk Acceptance Register'!$J$6:$J$105))&amp;"",""))</f>
        <v/>
      </c>
      <c r="X90" s="39" t="str">
        <f>IF(V90&lt;&gt;"Yes","",IFERROR(IF(IF(COUNTIFS('Risk Acceptance Register'!$B$6:$B$105,A90,'Risk Acceptance Register'!$T$6:$T$105,"Eligible")&gt;0,LOOKUP(2,1/(('Risk Acceptance Register'!$B$6:$B$105=A90)*('Risk Acceptance Register'!$T$6:$T$105="Eligible")),'Risk Acceptance Register'!$M$6:$M$105),LOOKUP(2,1/(('Risk Acceptance Register'!$B$6:$B$105=A90)*('Risk Acceptance Register'!$I$6:$I$105="Approved")),'Risk Acceptance Register'!$M$6:$M$105))=0,"",IF(COUNTIFS('Risk Acceptance Register'!$B$6:$B$105,A90,'Risk Acceptance Register'!$T$6:$T$105,"Eligible")&gt;0,LOOKUP(2,1/(('Risk Acceptance Register'!$B$6:$B$105=A90)*('Risk Acceptance Register'!$T$6:$T$105="Eligible")),'Risk Acceptance Register'!$M$6:$M$105),LOOKUP(2,1/(('Risk Acceptance Register'!$B$6:$B$105=A90)*('Risk Acceptance Register'!$I$6:$I$105="Approved")),'Risk Acceptance Register'!$M$6:$M$105))),""))</f>
        <v/>
      </c>
      <c r="Y90" s="38" t="str">
        <f>IF(A90="","",IF(U90="Within appetite","Within appetite",IF(AND(U90&lt;&gt;"Appetite breach",U90&lt;&gt;"Tolerance breach"),U90,IF(COUNTIFS('Risk Acceptance Register'!$B$6:$B$105,A90,'Risk Acceptance Register'!$T$6:$T$105,"Eligible")&gt;0,"Breach - formally accepted",IF(V90="Yes",IF(X90="","Accepted - expiry not set",IF(X90&lt;Methodology!$B$4,"Acceptance expired - breach open","Breach - not accepted")),"Breach - not accepted")))))</f>
        <v/>
      </c>
      <c r="Z90" s="40"/>
      <c r="AA90" s="38" t="str">
        <f>IF(OR(A90="",Z90=""),"",IF(Z90&lt;Methodology!$B$4,"Overdue","On schedule"))</f>
        <v/>
      </c>
      <c r="AB90" s="38" t="str">
        <f>IF(OR(U90="",U90="Within appetite"),"",MAX(AB$5:AB89)+1)</f>
        <v/>
      </c>
      <c r="AC90" s="38" t="str">
        <f>IF(A90="","",COUNTIF('Treatment Tracker'!$B$6:$B$105,A90)-COUNTIFS('Treatment Tracker'!$B$6:$B$105,A90,'Treatment Tracker'!$H$6:$H$105,"Completed")-COUNTIFS('Treatment Tracker'!$B$6:$B$105,A90,'Treatment Tracker'!$H$6:$H$105,"Cancelled"))</f>
        <v/>
      </c>
      <c r="AD90" s="38" t="str">
        <f t="shared" si="26"/>
        <v/>
      </c>
      <c r="AE90" s="35"/>
      <c r="AF90" s="35"/>
      <c r="AG90" s="40"/>
      <c r="AH90" s="35"/>
      <c r="AI90" s="38" t="str">
        <f>IF(A90="","",IF(OR(K90="",L90=""),"No assessment",IF(OR(NOT(ISNUMBER(K90)),NOT(ISNUMBER(L90))),"Invalid residual ratings",IF(OR(K90&lt;1,K90&gt;5,L90&lt;1,L90&gt;5,INT(K90)&lt;&gt;K90,INT(L90)&lt;&gt;L90),"Invalid residual ratings",IF(OR(AE90="",AF90="",AG90="",AH90=""),"Incomplete evidence",IF(NOT(ISNUMBER(AG90)),"Invalid assessment date",IF(OR(AG90&gt;Methodology!$B$4,AG90&lt;=0),"Invalid assessment date",IF(AG90+Methodology!$B$3&lt;Methodology!$B$4,"Expired",IF(AL90&lt;&gt;"Approved","Approval not confirmed","Valid")))))))))</f>
        <v/>
      </c>
      <c r="AJ90" s="38" t="str">
        <f>IF(OR(F90="",G90=""),"",MAX(1,ROUND(F90*(1-IFERROR(INDEX(Methodology!$B$41:$B$44,MATCH(J90,Methodology!$A$41:$A$44,0)),0)),0))*G90)</f>
        <v/>
      </c>
      <c r="AK90" s="38" t="str">
        <f t="shared" si="27"/>
        <v/>
      </c>
      <c r="AL90" s="36"/>
    </row>
    <row r="91" spans="1:38" x14ac:dyDescent="0.35">
      <c r="A91" s="35"/>
      <c r="B91" s="24"/>
      <c r="C91" s="24"/>
      <c r="D91" s="35"/>
      <c r="E91" s="35"/>
      <c r="F91" s="36"/>
      <c r="G91" s="36"/>
      <c r="H91" s="37" t="str">
        <f t="shared" si="21"/>
        <v/>
      </c>
      <c r="I91" s="38" t="str">
        <f>IF(NOT(ISNUMBER(H91)),"",INDEX(Methodology!$B$26:$B$29,MATCH(H91,Methodology!$A$26:$A$29,1)))</f>
        <v/>
      </c>
      <c r="J91" s="35"/>
      <c r="K91" s="36"/>
      <c r="L91" s="36"/>
      <c r="M91" s="37" t="str">
        <f t="shared" si="22"/>
        <v/>
      </c>
      <c r="N91" s="37" t="str">
        <f t="shared" si="23"/>
        <v/>
      </c>
      <c r="O91" s="37" t="str">
        <f t="shared" si="24"/>
        <v/>
      </c>
      <c r="P91" s="38" t="str">
        <f>IF(O91="","",INDEX(Methodology!$B$26:$B$29,MATCH(O91,Methodology!$A$26:$A$29,1)))</f>
        <v/>
      </c>
      <c r="Q91" s="36"/>
      <c r="R91" s="37" t="str">
        <f t="shared" si="25"/>
        <v/>
      </c>
      <c r="S91" s="37" t="str">
        <f>IF(D91="","",IFERROR(IF(OR(INDEX(Appetite!$I$6:$I$17,MATCH(D91,Appetite!$A$6:$A$17,0))="OK",INDEX(Appetite!$I$6:$I$17,MATCH(D91,Appetite!$A$6:$A$17,0))="Review overdue - approved"),INDEX(Appetite!$C$6:$C$17,MATCH(D91,Appetite!$A$6:$A$17,0)),""),""))</f>
        <v/>
      </c>
      <c r="T91" s="37" t="str">
        <f>IF(D91="","",IFERROR(IF(OR(INDEX(Appetite!$I$6:$I$17,MATCH(D91,Appetite!$A$6:$A$17,0))="OK",INDEX(Appetite!$I$6:$I$17,MATCH(D91,Appetite!$A$6:$A$17,0))="Review overdue - approved"),INDEX(Appetite!$D$6:$D$17,MATCH(D91,Appetite!$A$6:$A$17,0)),""),""))</f>
        <v/>
      </c>
      <c r="U91" s="38" t="str">
        <f>IF(A91="","",IF(H91="Invalid inherent ratings","Invalid inherent ratings",IF(O91="","Assessment missing",IF(COUNTIF(Appetite!$A$6:$A$17,D91)=0,"Configuration missing",IF(OR(S91="",T91=""),"Configuration: "&amp;INDEX(Appetite!$I$6:$I$17,MATCH(D91,Appetite!$A$6:$A$17,0)),IF(O91&gt;T91,"Tolerance breach",IF(O91&gt;S91,"Appetite breach","Within appetite")))))))</f>
        <v/>
      </c>
      <c r="V91" s="38" t="str">
        <f>IF(A91="","",IF(COUNTIFS('Risk Acceptance Register'!$B$6:$B$105,A91,'Risk Acceptance Register'!$I$6:$I$105,"Approved")&gt;0,"Yes","No"))</f>
        <v/>
      </c>
      <c r="W91" s="38" t="str">
        <f>IF(V91&lt;&gt;"Yes","",IFERROR(IF(COUNTIFS('Risk Acceptance Register'!$B$6:$B$105,A91,'Risk Acceptance Register'!$T$6:$T$105,"Eligible")&gt;0,LOOKUP(2,1/(('Risk Acceptance Register'!$B$6:$B$105=A91)*('Risk Acceptance Register'!$T$6:$T$105="Eligible")),'Risk Acceptance Register'!$J$6:$J$105),LOOKUP(2,1/(('Risk Acceptance Register'!$B$6:$B$105=A91)*('Risk Acceptance Register'!$I$6:$I$105="Approved")),'Risk Acceptance Register'!$J$6:$J$105))&amp;"",""))</f>
        <v/>
      </c>
      <c r="X91" s="39" t="str">
        <f>IF(V91&lt;&gt;"Yes","",IFERROR(IF(IF(COUNTIFS('Risk Acceptance Register'!$B$6:$B$105,A91,'Risk Acceptance Register'!$T$6:$T$105,"Eligible")&gt;0,LOOKUP(2,1/(('Risk Acceptance Register'!$B$6:$B$105=A91)*('Risk Acceptance Register'!$T$6:$T$105="Eligible")),'Risk Acceptance Register'!$M$6:$M$105),LOOKUP(2,1/(('Risk Acceptance Register'!$B$6:$B$105=A91)*('Risk Acceptance Register'!$I$6:$I$105="Approved")),'Risk Acceptance Register'!$M$6:$M$105))=0,"",IF(COUNTIFS('Risk Acceptance Register'!$B$6:$B$105,A91,'Risk Acceptance Register'!$T$6:$T$105,"Eligible")&gt;0,LOOKUP(2,1/(('Risk Acceptance Register'!$B$6:$B$105=A91)*('Risk Acceptance Register'!$T$6:$T$105="Eligible")),'Risk Acceptance Register'!$M$6:$M$105),LOOKUP(2,1/(('Risk Acceptance Register'!$B$6:$B$105=A91)*('Risk Acceptance Register'!$I$6:$I$105="Approved")),'Risk Acceptance Register'!$M$6:$M$105))),""))</f>
        <v/>
      </c>
      <c r="Y91" s="38" t="str">
        <f>IF(A91="","",IF(U91="Within appetite","Within appetite",IF(AND(U91&lt;&gt;"Appetite breach",U91&lt;&gt;"Tolerance breach"),U91,IF(COUNTIFS('Risk Acceptance Register'!$B$6:$B$105,A91,'Risk Acceptance Register'!$T$6:$T$105,"Eligible")&gt;0,"Breach - formally accepted",IF(V91="Yes",IF(X91="","Accepted - expiry not set",IF(X91&lt;Methodology!$B$4,"Acceptance expired - breach open","Breach - not accepted")),"Breach - not accepted")))))</f>
        <v/>
      </c>
      <c r="Z91" s="40"/>
      <c r="AA91" s="38" t="str">
        <f>IF(OR(A91="",Z91=""),"",IF(Z91&lt;Methodology!$B$4,"Overdue","On schedule"))</f>
        <v/>
      </c>
      <c r="AB91" s="38" t="str">
        <f>IF(OR(U91="",U91="Within appetite"),"",MAX(AB$5:AB90)+1)</f>
        <v/>
      </c>
      <c r="AC91" s="38" t="str">
        <f>IF(A91="","",COUNTIF('Treatment Tracker'!$B$6:$B$105,A91)-COUNTIFS('Treatment Tracker'!$B$6:$B$105,A91,'Treatment Tracker'!$H$6:$H$105,"Completed")-COUNTIFS('Treatment Tracker'!$B$6:$B$105,A91,'Treatment Tracker'!$H$6:$H$105,"Cancelled"))</f>
        <v/>
      </c>
      <c r="AD91" s="38" t="str">
        <f t="shared" si="26"/>
        <v/>
      </c>
      <c r="AE91" s="35"/>
      <c r="AF91" s="35"/>
      <c r="AG91" s="40"/>
      <c r="AH91" s="35"/>
      <c r="AI91" s="38" t="str">
        <f>IF(A91="","",IF(OR(K91="",L91=""),"No assessment",IF(OR(NOT(ISNUMBER(K91)),NOT(ISNUMBER(L91))),"Invalid residual ratings",IF(OR(K91&lt;1,K91&gt;5,L91&lt;1,L91&gt;5,INT(K91)&lt;&gt;K91,INT(L91)&lt;&gt;L91),"Invalid residual ratings",IF(OR(AE91="",AF91="",AG91="",AH91=""),"Incomplete evidence",IF(NOT(ISNUMBER(AG91)),"Invalid assessment date",IF(OR(AG91&gt;Methodology!$B$4,AG91&lt;=0),"Invalid assessment date",IF(AG91+Methodology!$B$3&lt;Methodology!$B$4,"Expired",IF(AL91&lt;&gt;"Approved","Approval not confirmed","Valid")))))))))</f>
        <v/>
      </c>
      <c r="AJ91" s="38" t="str">
        <f>IF(OR(F91="",G91=""),"",MAX(1,ROUND(F91*(1-IFERROR(INDEX(Methodology!$B$41:$B$44,MATCH(J91,Methodology!$A$41:$A$44,0)),0)),0))*G91)</f>
        <v/>
      </c>
      <c r="AK91" s="38" t="str">
        <f t="shared" si="27"/>
        <v/>
      </c>
      <c r="AL91" s="36"/>
    </row>
    <row r="92" spans="1:38" x14ac:dyDescent="0.35">
      <c r="A92" s="35"/>
      <c r="B92" s="24"/>
      <c r="C92" s="24"/>
      <c r="D92" s="35"/>
      <c r="E92" s="35"/>
      <c r="F92" s="36"/>
      <c r="G92" s="36"/>
      <c r="H92" s="37" t="str">
        <f t="shared" si="21"/>
        <v/>
      </c>
      <c r="I92" s="38" t="str">
        <f>IF(NOT(ISNUMBER(H92)),"",INDEX(Methodology!$B$26:$B$29,MATCH(H92,Methodology!$A$26:$A$29,1)))</f>
        <v/>
      </c>
      <c r="J92" s="35"/>
      <c r="K92" s="36"/>
      <c r="L92" s="36"/>
      <c r="M92" s="37" t="str">
        <f t="shared" si="22"/>
        <v/>
      </c>
      <c r="N92" s="37" t="str">
        <f t="shared" si="23"/>
        <v/>
      </c>
      <c r="O92" s="37" t="str">
        <f t="shared" si="24"/>
        <v/>
      </c>
      <c r="P92" s="38" t="str">
        <f>IF(O92="","",INDEX(Methodology!$B$26:$B$29,MATCH(O92,Methodology!$A$26:$A$29,1)))</f>
        <v/>
      </c>
      <c r="Q92" s="36"/>
      <c r="R92" s="37" t="str">
        <f t="shared" si="25"/>
        <v/>
      </c>
      <c r="S92" s="37" t="str">
        <f>IF(D92="","",IFERROR(IF(OR(INDEX(Appetite!$I$6:$I$17,MATCH(D92,Appetite!$A$6:$A$17,0))="OK",INDEX(Appetite!$I$6:$I$17,MATCH(D92,Appetite!$A$6:$A$17,0))="Review overdue - approved"),INDEX(Appetite!$C$6:$C$17,MATCH(D92,Appetite!$A$6:$A$17,0)),""),""))</f>
        <v/>
      </c>
      <c r="T92" s="37" t="str">
        <f>IF(D92="","",IFERROR(IF(OR(INDEX(Appetite!$I$6:$I$17,MATCH(D92,Appetite!$A$6:$A$17,0))="OK",INDEX(Appetite!$I$6:$I$17,MATCH(D92,Appetite!$A$6:$A$17,0))="Review overdue - approved"),INDEX(Appetite!$D$6:$D$17,MATCH(D92,Appetite!$A$6:$A$17,0)),""),""))</f>
        <v/>
      </c>
      <c r="U92" s="38" t="str">
        <f>IF(A92="","",IF(H92="Invalid inherent ratings","Invalid inherent ratings",IF(O92="","Assessment missing",IF(COUNTIF(Appetite!$A$6:$A$17,D92)=0,"Configuration missing",IF(OR(S92="",T92=""),"Configuration: "&amp;INDEX(Appetite!$I$6:$I$17,MATCH(D92,Appetite!$A$6:$A$17,0)),IF(O92&gt;T92,"Tolerance breach",IF(O92&gt;S92,"Appetite breach","Within appetite")))))))</f>
        <v/>
      </c>
      <c r="V92" s="38" t="str">
        <f>IF(A92="","",IF(COUNTIFS('Risk Acceptance Register'!$B$6:$B$105,A92,'Risk Acceptance Register'!$I$6:$I$105,"Approved")&gt;0,"Yes","No"))</f>
        <v/>
      </c>
      <c r="W92" s="38" t="str">
        <f>IF(V92&lt;&gt;"Yes","",IFERROR(IF(COUNTIFS('Risk Acceptance Register'!$B$6:$B$105,A92,'Risk Acceptance Register'!$T$6:$T$105,"Eligible")&gt;0,LOOKUP(2,1/(('Risk Acceptance Register'!$B$6:$B$105=A92)*('Risk Acceptance Register'!$T$6:$T$105="Eligible")),'Risk Acceptance Register'!$J$6:$J$105),LOOKUP(2,1/(('Risk Acceptance Register'!$B$6:$B$105=A92)*('Risk Acceptance Register'!$I$6:$I$105="Approved")),'Risk Acceptance Register'!$J$6:$J$105))&amp;"",""))</f>
        <v/>
      </c>
      <c r="X92" s="39" t="str">
        <f>IF(V92&lt;&gt;"Yes","",IFERROR(IF(IF(COUNTIFS('Risk Acceptance Register'!$B$6:$B$105,A92,'Risk Acceptance Register'!$T$6:$T$105,"Eligible")&gt;0,LOOKUP(2,1/(('Risk Acceptance Register'!$B$6:$B$105=A92)*('Risk Acceptance Register'!$T$6:$T$105="Eligible")),'Risk Acceptance Register'!$M$6:$M$105),LOOKUP(2,1/(('Risk Acceptance Register'!$B$6:$B$105=A92)*('Risk Acceptance Register'!$I$6:$I$105="Approved")),'Risk Acceptance Register'!$M$6:$M$105))=0,"",IF(COUNTIFS('Risk Acceptance Register'!$B$6:$B$105,A92,'Risk Acceptance Register'!$T$6:$T$105,"Eligible")&gt;0,LOOKUP(2,1/(('Risk Acceptance Register'!$B$6:$B$105=A92)*('Risk Acceptance Register'!$T$6:$T$105="Eligible")),'Risk Acceptance Register'!$M$6:$M$105),LOOKUP(2,1/(('Risk Acceptance Register'!$B$6:$B$105=A92)*('Risk Acceptance Register'!$I$6:$I$105="Approved")),'Risk Acceptance Register'!$M$6:$M$105))),""))</f>
        <v/>
      </c>
      <c r="Y92" s="38" t="str">
        <f>IF(A92="","",IF(U92="Within appetite","Within appetite",IF(AND(U92&lt;&gt;"Appetite breach",U92&lt;&gt;"Tolerance breach"),U92,IF(COUNTIFS('Risk Acceptance Register'!$B$6:$B$105,A92,'Risk Acceptance Register'!$T$6:$T$105,"Eligible")&gt;0,"Breach - formally accepted",IF(V92="Yes",IF(X92="","Accepted - expiry not set",IF(X92&lt;Methodology!$B$4,"Acceptance expired - breach open","Breach - not accepted")),"Breach - not accepted")))))</f>
        <v/>
      </c>
      <c r="Z92" s="40"/>
      <c r="AA92" s="38" t="str">
        <f>IF(OR(A92="",Z92=""),"",IF(Z92&lt;Methodology!$B$4,"Overdue","On schedule"))</f>
        <v/>
      </c>
      <c r="AB92" s="38" t="str">
        <f>IF(OR(U92="",U92="Within appetite"),"",MAX(AB$5:AB91)+1)</f>
        <v/>
      </c>
      <c r="AC92" s="38" t="str">
        <f>IF(A92="","",COUNTIF('Treatment Tracker'!$B$6:$B$105,A92)-COUNTIFS('Treatment Tracker'!$B$6:$B$105,A92,'Treatment Tracker'!$H$6:$H$105,"Completed")-COUNTIFS('Treatment Tracker'!$B$6:$B$105,A92,'Treatment Tracker'!$H$6:$H$105,"Cancelled"))</f>
        <v/>
      </c>
      <c r="AD92" s="38" t="str">
        <f t="shared" si="26"/>
        <v/>
      </c>
      <c r="AE92" s="35"/>
      <c r="AF92" s="35"/>
      <c r="AG92" s="40"/>
      <c r="AH92" s="35"/>
      <c r="AI92" s="38" t="str">
        <f>IF(A92="","",IF(OR(K92="",L92=""),"No assessment",IF(OR(NOT(ISNUMBER(K92)),NOT(ISNUMBER(L92))),"Invalid residual ratings",IF(OR(K92&lt;1,K92&gt;5,L92&lt;1,L92&gt;5,INT(K92)&lt;&gt;K92,INT(L92)&lt;&gt;L92),"Invalid residual ratings",IF(OR(AE92="",AF92="",AG92="",AH92=""),"Incomplete evidence",IF(NOT(ISNUMBER(AG92)),"Invalid assessment date",IF(OR(AG92&gt;Methodology!$B$4,AG92&lt;=0),"Invalid assessment date",IF(AG92+Methodology!$B$3&lt;Methodology!$B$4,"Expired",IF(AL92&lt;&gt;"Approved","Approval not confirmed","Valid")))))))))</f>
        <v/>
      </c>
      <c r="AJ92" s="38" t="str">
        <f>IF(OR(F92="",G92=""),"",MAX(1,ROUND(F92*(1-IFERROR(INDEX(Methodology!$B$41:$B$44,MATCH(J92,Methodology!$A$41:$A$44,0)),0)),0))*G92)</f>
        <v/>
      </c>
      <c r="AK92" s="38" t="str">
        <f t="shared" si="27"/>
        <v/>
      </c>
      <c r="AL92" s="36"/>
    </row>
    <row r="93" spans="1:38" x14ac:dyDescent="0.35">
      <c r="A93" s="35"/>
      <c r="B93" s="24"/>
      <c r="C93" s="24"/>
      <c r="D93" s="35"/>
      <c r="E93" s="35"/>
      <c r="F93" s="36"/>
      <c r="G93" s="36"/>
      <c r="H93" s="37" t="str">
        <f t="shared" si="21"/>
        <v/>
      </c>
      <c r="I93" s="38" t="str">
        <f>IF(NOT(ISNUMBER(H93)),"",INDEX(Methodology!$B$26:$B$29,MATCH(H93,Methodology!$A$26:$A$29,1)))</f>
        <v/>
      </c>
      <c r="J93" s="35"/>
      <c r="K93" s="36"/>
      <c r="L93" s="36"/>
      <c r="M93" s="37" t="str">
        <f t="shared" si="22"/>
        <v/>
      </c>
      <c r="N93" s="37" t="str">
        <f t="shared" si="23"/>
        <v/>
      </c>
      <c r="O93" s="37" t="str">
        <f t="shared" si="24"/>
        <v/>
      </c>
      <c r="P93" s="38" t="str">
        <f>IF(O93="","",INDEX(Methodology!$B$26:$B$29,MATCH(O93,Methodology!$A$26:$A$29,1)))</f>
        <v/>
      </c>
      <c r="Q93" s="36"/>
      <c r="R93" s="37" t="str">
        <f t="shared" si="25"/>
        <v/>
      </c>
      <c r="S93" s="37" t="str">
        <f>IF(D93="","",IFERROR(IF(OR(INDEX(Appetite!$I$6:$I$17,MATCH(D93,Appetite!$A$6:$A$17,0))="OK",INDEX(Appetite!$I$6:$I$17,MATCH(D93,Appetite!$A$6:$A$17,0))="Review overdue - approved"),INDEX(Appetite!$C$6:$C$17,MATCH(D93,Appetite!$A$6:$A$17,0)),""),""))</f>
        <v/>
      </c>
      <c r="T93" s="37" t="str">
        <f>IF(D93="","",IFERROR(IF(OR(INDEX(Appetite!$I$6:$I$17,MATCH(D93,Appetite!$A$6:$A$17,0))="OK",INDEX(Appetite!$I$6:$I$17,MATCH(D93,Appetite!$A$6:$A$17,0))="Review overdue - approved"),INDEX(Appetite!$D$6:$D$17,MATCH(D93,Appetite!$A$6:$A$17,0)),""),""))</f>
        <v/>
      </c>
      <c r="U93" s="38" t="str">
        <f>IF(A93="","",IF(H93="Invalid inherent ratings","Invalid inherent ratings",IF(O93="","Assessment missing",IF(COUNTIF(Appetite!$A$6:$A$17,D93)=0,"Configuration missing",IF(OR(S93="",T93=""),"Configuration: "&amp;INDEX(Appetite!$I$6:$I$17,MATCH(D93,Appetite!$A$6:$A$17,0)),IF(O93&gt;T93,"Tolerance breach",IF(O93&gt;S93,"Appetite breach","Within appetite")))))))</f>
        <v/>
      </c>
      <c r="V93" s="38" t="str">
        <f>IF(A93="","",IF(COUNTIFS('Risk Acceptance Register'!$B$6:$B$105,A93,'Risk Acceptance Register'!$I$6:$I$105,"Approved")&gt;0,"Yes","No"))</f>
        <v/>
      </c>
      <c r="W93" s="38" t="str">
        <f>IF(V93&lt;&gt;"Yes","",IFERROR(IF(COUNTIFS('Risk Acceptance Register'!$B$6:$B$105,A93,'Risk Acceptance Register'!$T$6:$T$105,"Eligible")&gt;0,LOOKUP(2,1/(('Risk Acceptance Register'!$B$6:$B$105=A93)*('Risk Acceptance Register'!$T$6:$T$105="Eligible")),'Risk Acceptance Register'!$J$6:$J$105),LOOKUP(2,1/(('Risk Acceptance Register'!$B$6:$B$105=A93)*('Risk Acceptance Register'!$I$6:$I$105="Approved")),'Risk Acceptance Register'!$J$6:$J$105))&amp;"",""))</f>
        <v/>
      </c>
      <c r="X93" s="39" t="str">
        <f>IF(V93&lt;&gt;"Yes","",IFERROR(IF(IF(COUNTIFS('Risk Acceptance Register'!$B$6:$B$105,A93,'Risk Acceptance Register'!$T$6:$T$105,"Eligible")&gt;0,LOOKUP(2,1/(('Risk Acceptance Register'!$B$6:$B$105=A93)*('Risk Acceptance Register'!$T$6:$T$105="Eligible")),'Risk Acceptance Register'!$M$6:$M$105),LOOKUP(2,1/(('Risk Acceptance Register'!$B$6:$B$105=A93)*('Risk Acceptance Register'!$I$6:$I$105="Approved")),'Risk Acceptance Register'!$M$6:$M$105))=0,"",IF(COUNTIFS('Risk Acceptance Register'!$B$6:$B$105,A93,'Risk Acceptance Register'!$T$6:$T$105,"Eligible")&gt;0,LOOKUP(2,1/(('Risk Acceptance Register'!$B$6:$B$105=A93)*('Risk Acceptance Register'!$T$6:$T$105="Eligible")),'Risk Acceptance Register'!$M$6:$M$105),LOOKUP(2,1/(('Risk Acceptance Register'!$B$6:$B$105=A93)*('Risk Acceptance Register'!$I$6:$I$105="Approved")),'Risk Acceptance Register'!$M$6:$M$105))),""))</f>
        <v/>
      </c>
      <c r="Y93" s="38" t="str">
        <f>IF(A93="","",IF(U93="Within appetite","Within appetite",IF(AND(U93&lt;&gt;"Appetite breach",U93&lt;&gt;"Tolerance breach"),U93,IF(COUNTIFS('Risk Acceptance Register'!$B$6:$B$105,A93,'Risk Acceptance Register'!$T$6:$T$105,"Eligible")&gt;0,"Breach - formally accepted",IF(V93="Yes",IF(X93="","Accepted - expiry not set",IF(X93&lt;Methodology!$B$4,"Acceptance expired - breach open","Breach - not accepted")),"Breach - not accepted")))))</f>
        <v/>
      </c>
      <c r="Z93" s="40"/>
      <c r="AA93" s="38" t="str">
        <f>IF(OR(A93="",Z93=""),"",IF(Z93&lt;Methodology!$B$4,"Overdue","On schedule"))</f>
        <v/>
      </c>
      <c r="AB93" s="38" t="str">
        <f>IF(OR(U93="",U93="Within appetite"),"",MAX(AB$5:AB92)+1)</f>
        <v/>
      </c>
      <c r="AC93" s="38" t="str">
        <f>IF(A93="","",COUNTIF('Treatment Tracker'!$B$6:$B$105,A93)-COUNTIFS('Treatment Tracker'!$B$6:$B$105,A93,'Treatment Tracker'!$H$6:$H$105,"Completed")-COUNTIFS('Treatment Tracker'!$B$6:$B$105,A93,'Treatment Tracker'!$H$6:$H$105,"Cancelled"))</f>
        <v/>
      </c>
      <c r="AD93" s="38" t="str">
        <f t="shared" si="26"/>
        <v/>
      </c>
      <c r="AE93" s="35"/>
      <c r="AF93" s="35"/>
      <c r="AG93" s="40"/>
      <c r="AH93" s="35"/>
      <c r="AI93" s="38" t="str">
        <f>IF(A93="","",IF(OR(K93="",L93=""),"No assessment",IF(OR(NOT(ISNUMBER(K93)),NOT(ISNUMBER(L93))),"Invalid residual ratings",IF(OR(K93&lt;1,K93&gt;5,L93&lt;1,L93&gt;5,INT(K93)&lt;&gt;K93,INT(L93)&lt;&gt;L93),"Invalid residual ratings",IF(OR(AE93="",AF93="",AG93="",AH93=""),"Incomplete evidence",IF(NOT(ISNUMBER(AG93)),"Invalid assessment date",IF(OR(AG93&gt;Methodology!$B$4,AG93&lt;=0),"Invalid assessment date",IF(AG93+Methodology!$B$3&lt;Methodology!$B$4,"Expired",IF(AL93&lt;&gt;"Approved","Approval not confirmed","Valid")))))))))</f>
        <v/>
      </c>
      <c r="AJ93" s="38" t="str">
        <f>IF(OR(F93="",G93=""),"",MAX(1,ROUND(F93*(1-IFERROR(INDEX(Methodology!$B$41:$B$44,MATCH(J93,Methodology!$A$41:$A$44,0)),0)),0))*G93)</f>
        <v/>
      </c>
      <c r="AK93" s="38" t="str">
        <f t="shared" si="27"/>
        <v/>
      </c>
      <c r="AL93" s="36"/>
    </row>
    <row r="94" spans="1:38" x14ac:dyDescent="0.35">
      <c r="A94" s="35"/>
      <c r="B94" s="24"/>
      <c r="C94" s="24"/>
      <c r="D94" s="35"/>
      <c r="E94" s="35"/>
      <c r="F94" s="36"/>
      <c r="G94" s="36"/>
      <c r="H94" s="37" t="str">
        <f t="shared" si="21"/>
        <v/>
      </c>
      <c r="I94" s="38" t="str">
        <f>IF(NOT(ISNUMBER(H94)),"",INDEX(Methodology!$B$26:$B$29,MATCH(H94,Methodology!$A$26:$A$29,1)))</f>
        <v/>
      </c>
      <c r="J94" s="35"/>
      <c r="K94" s="36"/>
      <c r="L94" s="36"/>
      <c r="M94" s="37" t="str">
        <f t="shared" si="22"/>
        <v/>
      </c>
      <c r="N94" s="37" t="str">
        <f t="shared" si="23"/>
        <v/>
      </c>
      <c r="O94" s="37" t="str">
        <f t="shared" si="24"/>
        <v/>
      </c>
      <c r="P94" s="38" t="str">
        <f>IF(O94="","",INDEX(Methodology!$B$26:$B$29,MATCH(O94,Methodology!$A$26:$A$29,1)))</f>
        <v/>
      </c>
      <c r="Q94" s="36"/>
      <c r="R94" s="37" t="str">
        <f t="shared" si="25"/>
        <v/>
      </c>
      <c r="S94" s="37" t="str">
        <f>IF(D94="","",IFERROR(IF(OR(INDEX(Appetite!$I$6:$I$17,MATCH(D94,Appetite!$A$6:$A$17,0))="OK",INDEX(Appetite!$I$6:$I$17,MATCH(D94,Appetite!$A$6:$A$17,0))="Review overdue - approved"),INDEX(Appetite!$C$6:$C$17,MATCH(D94,Appetite!$A$6:$A$17,0)),""),""))</f>
        <v/>
      </c>
      <c r="T94" s="37" t="str">
        <f>IF(D94="","",IFERROR(IF(OR(INDEX(Appetite!$I$6:$I$17,MATCH(D94,Appetite!$A$6:$A$17,0))="OK",INDEX(Appetite!$I$6:$I$17,MATCH(D94,Appetite!$A$6:$A$17,0))="Review overdue - approved"),INDEX(Appetite!$D$6:$D$17,MATCH(D94,Appetite!$A$6:$A$17,0)),""),""))</f>
        <v/>
      </c>
      <c r="U94" s="38" t="str">
        <f>IF(A94="","",IF(H94="Invalid inherent ratings","Invalid inherent ratings",IF(O94="","Assessment missing",IF(COUNTIF(Appetite!$A$6:$A$17,D94)=0,"Configuration missing",IF(OR(S94="",T94=""),"Configuration: "&amp;INDEX(Appetite!$I$6:$I$17,MATCH(D94,Appetite!$A$6:$A$17,0)),IF(O94&gt;T94,"Tolerance breach",IF(O94&gt;S94,"Appetite breach","Within appetite")))))))</f>
        <v/>
      </c>
      <c r="V94" s="38" t="str">
        <f>IF(A94="","",IF(COUNTIFS('Risk Acceptance Register'!$B$6:$B$105,A94,'Risk Acceptance Register'!$I$6:$I$105,"Approved")&gt;0,"Yes","No"))</f>
        <v/>
      </c>
      <c r="W94" s="38" t="str">
        <f>IF(V94&lt;&gt;"Yes","",IFERROR(IF(COUNTIFS('Risk Acceptance Register'!$B$6:$B$105,A94,'Risk Acceptance Register'!$T$6:$T$105,"Eligible")&gt;0,LOOKUP(2,1/(('Risk Acceptance Register'!$B$6:$B$105=A94)*('Risk Acceptance Register'!$T$6:$T$105="Eligible")),'Risk Acceptance Register'!$J$6:$J$105),LOOKUP(2,1/(('Risk Acceptance Register'!$B$6:$B$105=A94)*('Risk Acceptance Register'!$I$6:$I$105="Approved")),'Risk Acceptance Register'!$J$6:$J$105))&amp;"",""))</f>
        <v/>
      </c>
      <c r="X94" s="39" t="str">
        <f>IF(V94&lt;&gt;"Yes","",IFERROR(IF(IF(COUNTIFS('Risk Acceptance Register'!$B$6:$B$105,A94,'Risk Acceptance Register'!$T$6:$T$105,"Eligible")&gt;0,LOOKUP(2,1/(('Risk Acceptance Register'!$B$6:$B$105=A94)*('Risk Acceptance Register'!$T$6:$T$105="Eligible")),'Risk Acceptance Register'!$M$6:$M$105),LOOKUP(2,1/(('Risk Acceptance Register'!$B$6:$B$105=A94)*('Risk Acceptance Register'!$I$6:$I$105="Approved")),'Risk Acceptance Register'!$M$6:$M$105))=0,"",IF(COUNTIFS('Risk Acceptance Register'!$B$6:$B$105,A94,'Risk Acceptance Register'!$T$6:$T$105,"Eligible")&gt;0,LOOKUP(2,1/(('Risk Acceptance Register'!$B$6:$B$105=A94)*('Risk Acceptance Register'!$T$6:$T$105="Eligible")),'Risk Acceptance Register'!$M$6:$M$105),LOOKUP(2,1/(('Risk Acceptance Register'!$B$6:$B$105=A94)*('Risk Acceptance Register'!$I$6:$I$105="Approved")),'Risk Acceptance Register'!$M$6:$M$105))),""))</f>
        <v/>
      </c>
      <c r="Y94" s="38" t="str">
        <f>IF(A94="","",IF(U94="Within appetite","Within appetite",IF(AND(U94&lt;&gt;"Appetite breach",U94&lt;&gt;"Tolerance breach"),U94,IF(COUNTIFS('Risk Acceptance Register'!$B$6:$B$105,A94,'Risk Acceptance Register'!$T$6:$T$105,"Eligible")&gt;0,"Breach - formally accepted",IF(V94="Yes",IF(X94="","Accepted - expiry not set",IF(X94&lt;Methodology!$B$4,"Acceptance expired - breach open","Breach - not accepted")),"Breach - not accepted")))))</f>
        <v/>
      </c>
      <c r="Z94" s="40"/>
      <c r="AA94" s="38" t="str">
        <f>IF(OR(A94="",Z94=""),"",IF(Z94&lt;Methodology!$B$4,"Overdue","On schedule"))</f>
        <v/>
      </c>
      <c r="AB94" s="38" t="str">
        <f>IF(OR(U94="",U94="Within appetite"),"",MAX(AB$5:AB93)+1)</f>
        <v/>
      </c>
      <c r="AC94" s="38" t="str">
        <f>IF(A94="","",COUNTIF('Treatment Tracker'!$B$6:$B$105,A94)-COUNTIFS('Treatment Tracker'!$B$6:$B$105,A94,'Treatment Tracker'!$H$6:$H$105,"Completed")-COUNTIFS('Treatment Tracker'!$B$6:$B$105,A94,'Treatment Tracker'!$H$6:$H$105,"Cancelled"))</f>
        <v/>
      </c>
      <c r="AD94" s="38" t="str">
        <f t="shared" si="26"/>
        <v/>
      </c>
      <c r="AE94" s="35"/>
      <c r="AF94" s="35"/>
      <c r="AG94" s="40"/>
      <c r="AH94" s="35"/>
      <c r="AI94" s="38" t="str">
        <f>IF(A94="","",IF(OR(K94="",L94=""),"No assessment",IF(OR(NOT(ISNUMBER(K94)),NOT(ISNUMBER(L94))),"Invalid residual ratings",IF(OR(K94&lt;1,K94&gt;5,L94&lt;1,L94&gt;5,INT(K94)&lt;&gt;K94,INT(L94)&lt;&gt;L94),"Invalid residual ratings",IF(OR(AE94="",AF94="",AG94="",AH94=""),"Incomplete evidence",IF(NOT(ISNUMBER(AG94)),"Invalid assessment date",IF(OR(AG94&gt;Methodology!$B$4,AG94&lt;=0),"Invalid assessment date",IF(AG94+Methodology!$B$3&lt;Methodology!$B$4,"Expired",IF(AL94&lt;&gt;"Approved","Approval not confirmed","Valid")))))))))</f>
        <v/>
      </c>
      <c r="AJ94" s="38" t="str">
        <f>IF(OR(F94="",G94=""),"",MAX(1,ROUND(F94*(1-IFERROR(INDEX(Methodology!$B$41:$B$44,MATCH(J94,Methodology!$A$41:$A$44,0)),0)),0))*G94)</f>
        <v/>
      </c>
      <c r="AK94" s="38" t="str">
        <f t="shared" si="27"/>
        <v/>
      </c>
      <c r="AL94" s="36"/>
    </row>
    <row r="95" spans="1:38" x14ac:dyDescent="0.35">
      <c r="A95" s="35"/>
      <c r="B95" s="24"/>
      <c r="C95" s="24"/>
      <c r="D95" s="35"/>
      <c r="E95" s="35"/>
      <c r="F95" s="36"/>
      <c r="G95" s="36"/>
      <c r="H95" s="37" t="str">
        <f t="shared" si="21"/>
        <v/>
      </c>
      <c r="I95" s="38" t="str">
        <f>IF(NOT(ISNUMBER(H95)),"",INDEX(Methodology!$B$26:$B$29,MATCH(H95,Methodology!$A$26:$A$29,1)))</f>
        <v/>
      </c>
      <c r="J95" s="35"/>
      <c r="K95" s="36"/>
      <c r="L95" s="36"/>
      <c r="M95" s="37" t="str">
        <f t="shared" si="22"/>
        <v/>
      </c>
      <c r="N95" s="37" t="str">
        <f t="shared" si="23"/>
        <v/>
      </c>
      <c r="O95" s="37" t="str">
        <f t="shared" si="24"/>
        <v/>
      </c>
      <c r="P95" s="38" t="str">
        <f>IF(O95="","",INDEX(Methodology!$B$26:$B$29,MATCH(O95,Methodology!$A$26:$A$29,1)))</f>
        <v/>
      </c>
      <c r="Q95" s="36"/>
      <c r="R95" s="37" t="str">
        <f t="shared" si="25"/>
        <v/>
      </c>
      <c r="S95" s="37" t="str">
        <f>IF(D95="","",IFERROR(IF(OR(INDEX(Appetite!$I$6:$I$17,MATCH(D95,Appetite!$A$6:$A$17,0))="OK",INDEX(Appetite!$I$6:$I$17,MATCH(D95,Appetite!$A$6:$A$17,0))="Review overdue - approved"),INDEX(Appetite!$C$6:$C$17,MATCH(D95,Appetite!$A$6:$A$17,0)),""),""))</f>
        <v/>
      </c>
      <c r="T95" s="37" t="str">
        <f>IF(D95="","",IFERROR(IF(OR(INDEX(Appetite!$I$6:$I$17,MATCH(D95,Appetite!$A$6:$A$17,0))="OK",INDEX(Appetite!$I$6:$I$17,MATCH(D95,Appetite!$A$6:$A$17,0))="Review overdue - approved"),INDEX(Appetite!$D$6:$D$17,MATCH(D95,Appetite!$A$6:$A$17,0)),""),""))</f>
        <v/>
      </c>
      <c r="U95" s="38" t="str">
        <f>IF(A95="","",IF(H95="Invalid inherent ratings","Invalid inherent ratings",IF(O95="","Assessment missing",IF(COUNTIF(Appetite!$A$6:$A$17,D95)=0,"Configuration missing",IF(OR(S95="",T95=""),"Configuration: "&amp;INDEX(Appetite!$I$6:$I$17,MATCH(D95,Appetite!$A$6:$A$17,0)),IF(O95&gt;T95,"Tolerance breach",IF(O95&gt;S95,"Appetite breach","Within appetite")))))))</f>
        <v/>
      </c>
      <c r="V95" s="38" t="str">
        <f>IF(A95="","",IF(COUNTIFS('Risk Acceptance Register'!$B$6:$B$105,A95,'Risk Acceptance Register'!$I$6:$I$105,"Approved")&gt;0,"Yes","No"))</f>
        <v/>
      </c>
      <c r="W95" s="38" t="str">
        <f>IF(V95&lt;&gt;"Yes","",IFERROR(IF(COUNTIFS('Risk Acceptance Register'!$B$6:$B$105,A95,'Risk Acceptance Register'!$T$6:$T$105,"Eligible")&gt;0,LOOKUP(2,1/(('Risk Acceptance Register'!$B$6:$B$105=A95)*('Risk Acceptance Register'!$T$6:$T$105="Eligible")),'Risk Acceptance Register'!$J$6:$J$105),LOOKUP(2,1/(('Risk Acceptance Register'!$B$6:$B$105=A95)*('Risk Acceptance Register'!$I$6:$I$105="Approved")),'Risk Acceptance Register'!$J$6:$J$105))&amp;"",""))</f>
        <v/>
      </c>
      <c r="X95" s="39" t="str">
        <f>IF(V95&lt;&gt;"Yes","",IFERROR(IF(IF(COUNTIFS('Risk Acceptance Register'!$B$6:$B$105,A95,'Risk Acceptance Register'!$T$6:$T$105,"Eligible")&gt;0,LOOKUP(2,1/(('Risk Acceptance Register'!$B$6:$B$105=A95)*('Risk Acceptance Register'!$T$6:$T$105="Eligible")),'Risk Acceptance Register'!$M$6:$M$105),LOOKUP(2,1/(('Risk Acceptance Register'!$B$6:$B$105=A95)*('Risk Acceptance Register'!$I$6:$I$105="Approved")),'Risk Acceptance Register'!$M$6:$M$105))=0,"",IF(COUNTIFS('Risk Acceptance Register'!$B$6:$B$105,A95,'Risk Acceptance Register'!$T$6:$T$105,"Eligible")&gt;0,LOOKUP(2,1/(('Risk Acceptance Register'!$B$6:$B$105=A95)*('Risk Acceptance Register'!$T$6:$T$105="Eligible")),'Risk Acceptance Register'!$M$6:$M$105),LOOKUP(2,1/(('Risk Acceptance Register'!$B$6:$B$105=A95)*('Risk Acceptance Register'!$I$6:$I$105="Approved")),'Risk Acceptance Register'!$M$6:$M$105))),""))</f>
        <v/>
      </c>
      <c r="Y95" s="38" t="str">
        <f>IF(A95="","",IF(U95="Within appetite","Within appetite",IF(AND(U95&lt;&gt;"Appetite breach",U95&lt;&gt;"Tolerance breach"),U95,IF(COUNTIFS('Risk Acceptance Register'!$B$6:$B$105,A95,'Risk Acceptance Register'!$T$6:$T$105,"Eligible")&gt;0,"Breach - formally accepted",IF(V95="Yes",IF(X95="","Accepted - expiry not set",IF(X95&lt;Methodology!$B$4,"Acceptance expired - breach open","Breach - not accepted")),"Breach - not accepted")))))</f>
        <v/>
      </c>
      <c r="Z95" s="40"/>
      <c r="AA95" s="38" t="str">
        <f>IF(OR(A95="",Z95=""),"",IF(Z95&lt;Methodology!$B$4,"Overdue","On schedule"))</f>
        <v/>
      </c>
      <c r="AB95" s="38" t="str">
        <f>IF(OR(U95="",U95="Within appetite"),"",MAX(AB$5:AB94)+1)</f>
        <v/>
      </c>
      <c r="AC95" s="38" t="str">
        <f>IF(A95="","",COUNTIF('Treatment Tracker'!$B$6:$B$105,A95)-COUNTIFS('Treatment Tracker'!$B$6:$B$105,A95,'Treatment Tracker'!$H$6:$H$105,"Completed")-COUNTIFS('Treatment Tracker'!$B$6:$B$105,A95,'Treatment Tracker'!$H$6:$H$105,"Cancelled"))</f>
        <v/>
      </c>
      <c r="AD95" s="38" t="str">
        <f t="shared" si="26"/>
        <v/>
      </c>
      <c r="AE95" s="35"/>
      <c r="AF95" s="35"/>
      <c r="AG95" s="40"/>
      <c r="AH95" s="35"/>
      <c r="AI95" s="38" t="str">
        <f>IF(A95="","",IF(OR(K95="",L95=""),"No assessment",IF(OR(NOT(ISNUMBER(K95)),NOT(ISNUMBER(L95))),"Invalid residual ratings",IF(OR(K95&lt;1,K95&gt;5,L95&lt;1,L95&gt;5,INT(K95)&lt;&gt;K95,INT(L95)&lt;&gt;L95),"Invalid residual ratings",IF(OR(AE95="",AF95="",AG95="",AH95=""),"Incomplete evidence",IF(NOT(ISNUMBER(AG95)),"Invalid assessment date",IF(OR(AG95&gt;Methodology!$B$4,AG95&lt;=0),"Invalid assessment date",IF(AG95+Methodology!$B$3&lt;Methodology!$B$4,"Expired",IF(AL95&lt;&gt;"Approved","Approval not confirmed","Valid")))))))))</f>
        <v/>
      </c>
      <c r="AJ95" s="38" t="str">
        <f>IF(OR(F95="",G95=""),"",MAX(1,ROUND(F95*(1-IFERROR(INDEX(Methodology!$B$41:$B$44,MATCH(J95,Methodology!$A$41:$A$44,0)),0)),0))*G95)</f>
        <v/>
      </c>
      <c r="AK95" s="38" t="str">
        <f t="shared" si="27"/>
        <v/>
      </c>
      <c r="AL95" s="36"/>
    </row>
    <row r="96" spans="1:38" x14ac:dyDescent="0.35">
      <c r="A96" s="35"/>
      <c r="B96" s="24"/>
      <c r="C96" s="24"/>
      <c r="D96" s="35"/>
      <c r="E96" s="35"/>
      <c r="F96" s="36"/>
      <c r="G96" s="36"/>
      <c r="H96" s="37" t="str">
        <f t="shared" si="21"/>
        <v/>
      </c>
      <c r="I96" s="38" t="str">
        <f>IF(NOT(ISNUMBER(H96)),"",INDEX(Methodology!$B$26:$B$29,MATCH(H96,Methodology!$A$26:$A$29,1)))</f>
        <v/>
      </c>
      <c r="J96" s="35"/>
      <c r="K96" s="36"/>
      <c r="L96" s="36"/>
      <c r="M96" s="37" t="str">
        <f t="shared" si="22"/>
        <v/>
      </c>
      <c r="N96" s="37" t="str">
        <f t="shared" si="23"/>
        <v/>
      </c>
      <c r="O96" s="37" t="str">
        <f t="shared" si="24"/>
        <v/>
      </c>
      <c r="P96" s="38" t="str">
        <f>IF(O96="","",INDEX(Methodology!$B$26:$B$29,MATCH(O96,Methodology!$A$26:$A$29,1)))</f>
        <v/>
      </c>
      <c r="Q96" s="36"/>
      <c r="R96" s="37" t="str">
        <f t="shared" si="25"/>
        <v/>
      </c>
      <c r="S96" s="37" t="str">
        <f>IF(D96="","",IFERROR(IF(OR(INDEX(Appetite!$I$6:$I$17,MATCH(D96,Appetite!$A$6:$A$17,0))="OK",INDEX(Appetite!$I$6:$I$17,MATCH(D96,Appetite!$A$6:$A$17,0))="Review overdue - approved"),INDEX(Appetite!$C$6:$C$17,MATCH(D96,Appetite!$A$6:$A$17,0)),""),""))</f>
        <v/>
      </c>
      <c r="T96" s="37" t="str">
        <f>IF(D96="","",IFERROR(IF(OR(INDEX(Appetite!$I$6:$I$17,MATCH(D96,Appetite!$A$6:$A$17,0))="OK",INDEX(Appetite!$I$6:$I$17,MATCH(D96,Appetite!$A$6:$A$17,0))="Review overdue - approved"),INDEX(Appetite!$D$6:$D$17,MATCH(D96,Appetite!$A$6:$A$17,0)),""),""))</f>
        <v/>
      </c>
      <c r="U96" s="38" t="str">
        <f>IF(A96="","",IF(H96="Invalid inherent ratings","Invalid inherent ratings",IF(O96="","Assessment missing",IF(COUNTIF(Appetite!$A$6:$A$17,D96)=0,"Configuration missing",IF(OR(S96="",T96=""),"Configuration: "&amp;INDEX(Appetite!$I$6:$I$17,MATCH(D96,Appetite!$A$6:$A$17,0)),IF(O96&gt;T96,"Tolerance breach",IF(O96&gt;S96,"Appetite breach","Within appetite")))))))</f>
        <v/>
      </c>
      <c r="V96" s="38" t="str">
        <f>IF(A96="","",IF(COUNTIFS('Risk Acceptance Register'!$B$6:$B$105,A96,'Risk Acceptance Register'!$I$6:$I$105,"Approved")&gt;0,"Yes","No"))</f>
        <v/>
      </c>
      <c r="W96" s="38" t="str">
        <f>IF(V96&lt;&gt;"Yes","",IFERROR(IF(COUNTIFS('Risk Acceptance Register'!$B$6:$B$105,A96,'Risk Acceptance Register'!$T$6:$T$105,"Eligible")&gt;0,LOOKUP(2,1/(('Risk Acceptance Register'!$B$6:$B$105=A96)*('Risk Acceptance Register'!$T$6:$T$105="Eligible")),'Risk Acceptance Register'!$J$6:$J$105),LOOKUP(2,1/(('Risk Acceptance Register'!$B$6:$B$105=A96)*('Risk Acceptance Register'!$I$6:$I$105="Approved")),'Risk Acceptance Register'!$J$6:$J$105))&amp;"",""))</f>
        <v/>
      </c>
      <c r="X96" s="39" t="str">
        <f>IF(V96&lt;&gt;"Yes","",IFERROR(IF(IF(COUNTIFS('Risk Acceptance Register'!$B$6:$B$105,A96,'Risk Acceptance Register'!$T$6:$T$105,"Eligible")&gt;0,LOOKUP(2,1/(('Risk Acceptance Register'!$B$6:$B$105=A96)*('Risk Acceptance Register'!$T$6:$T$105="Eligible")),'Risk Acceptance Register'!$M$6:$M$105),LOOKUP(2,1/(('Risk Acceptance Register'!$B$6:$B$105=A96)*('Risk Acceptance Register'!$I$6:$I$105="Approved")),'Risk Acceptance Register'!$M$6:$M$105))=0,"",IF(COUNTIFS('Risk Acceptance Register'!$B$6:$B$105,A96,'Risk Acceptance Register'!$T$6:$T$105,"Eligible")&gt;0,LOOKUP(2,1/(('Risk Acceptance Register'!$B$6:$B$105=A96)*('Risk Acceptance Register'!$T$6:$T$105="Eligible")),'Risk Acceptance Register'!$M$6:$M$105),LOOKUP(2,1/(('Risk Acceptance Register'!$B$6:$B$105=A96)*('Risk Acceptance Register'!$I$6:$I$105="Approved")),'Risk Acceptance Register'!$M$6:$M$105))),""))</f>
        <v/>
      </c>
      <c r="Y96" s="38" t="str">
        <f>IF(A96="","",IF(U96="Within appetite","Within appetite",IF(AND(U96&lt;&gt;"Appetite breach",U96&lt;&gt;"Tolerance breach"),U96,IF(COUNTIFS('Risk Acceptance Register'!$B$6:$B$105,A96,'Risk Acceptance Register'!$T$6:$T$105,"Eligible")&gt;0,"Breach - formally accepted",IF(V96="Yes",IF(X96="","Accepted - expiry not set",IF(X96&lt;Methodology!$B$4,"Acceptance expired - breach open","Breach - not accepted")),"Breach - not accepted")))))</f>
        <v/>
      </c>
      <c r="Z96" s="40"/>
      <c r="AA96" s="38" t="str">
        <f>IF(OR(A96="",Z96=""),"",IF(Z96&lt;Methodology!$B$4,"Overdue","On schedule"))</f>
        <v/>
      </c>
      <c r="AB96" s="38" t="str">
        <f>IF(OR(U96="",U96="Within appetite"),"",MAX(AB$5:AB95)+1)</f>
        <v/>
      </c>
      <c r="AC96" s="38" t="str">
        <f>IF(A96="","",COUNTIF('Treatment Tracker'!$B$6:$B$105,A96)-COUNTIFS('Treatment Tracker'!$B$6:$B$105,A96,'Treatment Tracker'!$H$6:$H$105,"Completed")-COUNTIFS('Treatment Tracker'!$B$6:$B$105,A96,'Treatment Tracker'!$H$6:$H$105,"Cancelled"))</f>
        <v/>
      </c>
      <c r="AD96" s="38" t="str">
        <f t="shared" si="26"/>
        <v/>
      </c>
      <c r="AE96" s="35"/>
      <c r="AF96" s="35"/>
      <c r="AG96" s="40"/>
      <c r="AH96" s="35"/>
      <c r="AI96" s="38" t="str">
        <f>IF(A96="","",IF(OR(K96="",L96=""),"No assessment",IF(OR(NOT(ISNUMBER(K96)),NOT(ISNUMBER(L96))),"Invalid residual ratings",IF(OR(K96&lt;1,K96&gt;5,L96&lt;1,L96&gt;5,INT(K96)&lt;&gt;K96,INT(L96)&lt;&gt;L96),"Invalid residual ratings",IF(OR(AE96="",AF96="",AG96="",AH96=""),"Incomplete evidence",IF(NOT(ISNUMBER(AG96)),"Invalid assessment date",IF(OR(AG96&gt;Methodology!$B$4,AG96&lt;=0),"Invalid assessment date",IF(AG96+Methodology!$B$3&lt;Methodology!$B$4,"Expired",IF(AL96&lt;&gt;"Approved","Approval not confirmed","Valid")))))))))</f>
        <v/>
      </c>
      <c r="AJ96" s="38" t="str">
        <f>IF(OR(F96="",G96=""),"",MAX(1,ROUND(F96*(1-IFERROR(INDEX(Methodology!$B$41:$B$44,MATCH(J96,Methodology!$A$41:$A$44,0)),0)),0))*G96)</f>
        <v/>
      </c>
      <c r="AK96" s="38" t="str">
        <f t="shared" si="27"/>
        <v/>
      </c>
      <c r="AL96" s="36"/>
    </row>
    <row r="97" spans="1:38" x14ac:dyDescent="0.35">
      <c r="A97" s="35"/>
      <c r="B97" s="24"/>
      <c r="C97" s="24"/>
      <c r="D97" s="35"/>
      <c r="E97" s="35"/>
      <c r="F97" s="36"/>
      <c r="G97" s="36"/>
      <c r="H97" s="37" t="str">
        <f t="shared" si="21"/>
        <v/>
      </c>
      <c r="I97" s="38" t="str">
        <f>IF(NOT(ISNUMBER(H97)),"",INDEX(Methodology!$B$26:$B$29,MATCH(H97,Methodology!$A$26:$A$29,1)))</f>
        <v/>
      </c>
      <c r="J97" s="35"/>
      <c r="K97" s="36"/>
      <c r="L97" s="36"/>
      <c r="M97" s="37" t="str">
        <f t="shared" si="22"/>
        <v/>
      </c>
      <c r="N97" s="37" t="str">
        <f t="shared" si="23"/>
        <v/>
      </c>
      <c r="O97" s="37" t="str">
        <f t="shared" si="24"/>
        <v/>
      </c>
      <c r="P97" s="38" t="str">
        <f>IF(O97="","",INDEX(Methodology!$B$26:$B$29,MATCH(O97,Methodology!$A$26:$A$29,1)))</f>
        <v/>
      </c>
      <c r="Q97" s="36"/>
      <c r="R97" s="37" t="str">
        <f t="shared" si="25"/>
        <v/>
      </c>
      <c r="S97" s="37" t="str">
        <f>IF(D97="","",IFERROR(IF(OR(INDEX(Appetite!$I$6:$I$17,MATCH(D97,Appetite!$A$6:$A$17,0))="OK",INDEX(Appetite!$I$6:$I$17,MATCH(D97,Appetite!$A$6:$A$17,0))="Review overdue - approved"),INDEX(Appetite!$C$6:$C$17,MATCH(D97,Appetite!$A$6:$A$17,0)),""),""))</f>
        <v/>
      </c>
      <c r="T97" s="37" t="str">
        <f>IF(D97="","",IFERROR(IF(OR(INDEX(Appetite!$I$6:$I$17,MATCH(D97,Appetite!$A$6:$A$17,0))="OK",INDEX(Appetite!$I$6:$I$17,MATCH(D97,Appetite!$A$6:$A$17,0))="Review overdue - approved"),INDEX(Appetite!$D$6:$D$17,MATCH(D97,Appetite!$A$6:$A$17,0)),""),""))</f>
        <v/>
      </c>
      <c r="U97" s="38" t="str">
        <f>IF(A97="","",IF(H97="Invalid inherent ratings","Invalid inherent ratings",IF(O97="","Assessment missing",IF(COUNTIF(Appetite!$A$6:$A$17,D97)=0,"Configuration missing",IF(OR(S97="",T97=""),"Configuration: "&amp;INDEX(Appetite!$I$6:$I$17,MATCH(D97,Appetite!$A$6:$A$17,0)),IF(O97&gt;T97,"Tolerance breach",IF(O97&gt;S97,"Appetite breach","Within appetite")))))))</f>
        <v/>
      </c>
      <c r="V97" s="38" t="str">
        <f>IF(A97="","",IF(COUNTIFS('Risk Acceptance Register'!$B$6:$B$105,A97,'Risk Acceptance Register'!$I$6:$I$105,"Approved")&gt;0,"Yes","No"))</f>
        <v/>
      </c>
      <c r="W97" s="38" t="str">
        <f>IF(V97&lt;&gt;"Yes","",IFERROR(IF(COUNTIFS('Risk Acceptance Register'!$B$6:$B$105,A97,'Risk Acceptance Register'!$T$6:$T$105,"Eligible")&gt;0,LOOKUP(2,1/(('Risk Acceptance Register'!$B$6:$B$105=A97)*('Risk Acceptance Register'!$T$6:$T$105="Eligible")),'Risk Acceptance Register'!$J$6:$J$105),LOOKUP(2,1/(('Risk Acceptance Register'!$B$6:$B$105=A97)*('Risk Acceptance Register'!$I$6:$I$105="Approved")),'Risk Acceptance Register'!$J$6:$J$105))&amp;"",""))</f>
        <v/>
      </c>
      <c r="X97" s="39" t="str">
        <f>IF(V97&lt;&gt;"Yes","",IFERROR(IF(IF(COUNTIFS('Risk Acceptance Register'!$B$6:$B$105,A97,'Risk Acceptance Register'!$T$6:$T$105,"Eligible")&gt;0,LOOKUP(2,1/(('Risk Acceptance Register'!$B$6:$B$105=A97)*('Risk Acceptance Register'!$T$6:$T$105="Eligible")),'Risk Acceptance Register'!$M$6:$M$105),LOOKUP(2,1/(('Risk Acceptance Register'!$B$6:$B$105=A97)*('Risk Acceptance Register'!$I$6:$I$105="Approved")),'Risk Acceptance Register'!$M$6:$M$105))=0,"",IF(COUNTIFS('Risk Acceptance Register'!$B$6:$B$105,A97,'Risk Acceptance Register'!$T$6:$T$105,"Eligible")&gt;0,LOOKUP(2,1/(('Risk Acceptance Register'!$B$6:$B$105=A97)*('Risk Acceptance Register'!$T$6:$T$105="Eligible")),'Risk Acceptance Register'!$M$6:$M$105),LOOKUP(2,1/(('Risk Acceptance Register'!$B$6:$B$105=A97)*('Risk Acceptance Register'!$I$6:$I$105="Approved")),'Risk Acceptance Register'!$M$6:$M$105))),""))</f>
        <v/>
      </c>
      <c r="Y97" s="38" t="str">
        <f>IF(A97="","",IF(U97="Within appetite","Within appetite",IF(AND(U97&lt;&gt;"Appetite breach",U97&lt;&gt;"Tolerance breach"),U97,IF(COUNTIFS('Risk Acceptance Register'!$B$6:$B$105,A97,'Risk Acceptance Register'!$T$6:$T$105,"Eligible")&gt;0,"Breach - formally accepted",IF(V97="Yes",IF(X97="","Accepted - expiry not set",IF(X97&lt;Methodology!$B$4,"Acceptance expired - breach open","Breach - not accepted")),"Breach - not accepted")))))</f>
        <v/>
      </c>
      <c r="Z97" s="40"/>
      <c r="AA97" s="38" t="str">
        <f>IF(OR(A97="",Z97=""),"",IF(Z97&lt;Methodology!$B$4,"Overdue","On schedule"))</f>
        <v/>
      </c>
      <c r="AB97" s="38" t="str">
        <f>IF(OR(U97="",U97="Within appetite"),"",MAX(AB$5:AB96)+1)</f>
        <v/>
      </c>
      <c r="AC97" s="38" t="str">
        <f>IF(A97="","",COUNTIF('Treatment Tracker'!$B$6:$B$105,A97)-COUNTIFS('Treatment Tracker'!$B$6:$B$105,A97,'Treatment Tracker'!$H$6:$H$105,"Completed")-COUNTIFS('Treatment Tracker'!$B$6:$B$105,A97,'Treatment Tracker'!$H$6:$H$105,"Cancelled"))</f>
        <v/>
      </c>
      <c r="AD97" s="38" t="str">
        <f t="shared" si="26"/>
        <v/>
      </c>
      <c r="AE97" s="35"/>
      <c r="AF97" s="35"/>
      <c r="AG97" s="40"/>
      <c r="AH97" s="35"/>
      <c r="AI97" s="38" t="str">
        <f>IF(A97="","",IF(OR(K97="",L97=""),"No assessment",IF(OR(NOT(ISNUMBER(K97)),NOT(ISNUMBER(L97))),"Invalid residual ratings",IF(OR(K97&lt;1,K97&gt;5,L97&lt;1,L97&gt;5,INT(K97)&lt;&gt;K97,INT(L97)&lt;&gt;L97),"Invalid residual ratings",IF(OR(AE97="",AF97="",AG97="",AH97=""),"Incomplete evidence",IF(NOT(ISNUMBER(AG97)),"Invalid assessment date",IF(OR(AG97&gt;Methodology!$B$4,AG97&lt;=0),"Invalid assessment date",IF(AG97+Methodology!$B$3&lt;Methodology!$B$4,"Expired",IF(AL97&lt;&gt;"Approved","Approval not confirmed","Valid")))))))))</f>
        <v/>
      </c>
      <c r="AJ97" s="38" t="str">
        <f>IF(OR(F97="",G97=""),"",MAX(1,ROUND(F97*(1-IFERROR(INDEX(Methodology!$B$41:$B$44,MATCH(J97,Methodology!$A$41:$A$44,0)),0)),0))*G97)</f>
        <v/>
      </c>
      <c r="AK97" s="38" t="str">
        <f t="shared" si="27"/>
        <v/>
      </c>
      <c r="AL97" s="36"/>
    </row>
    <row r="98" spans="1:38" x14ac:dyDescent="0.35">
      <c r="A98" s="35"/>
      <c r="B98" s="24"/>
      <c r="C98" s="24"/>
      <c r="D98" s="35"/>
      <c r="E98" s="35"/>
      <c r="F98" s="36"/>
      <c r="G98" s="36"/>
      <c r="H98" s="37" t="str">
        <f t="shared" si="21"/>
        <v/>
      </c>
      <c r="I98" s="38" t="str">
        <f>IF(NOT(ISNUMBER(H98)),"",INDEX(Methodology!$B$26:$B$29,MATCH(H98,Methodology!$A$26:$A$29,1)))</f>
        <v/>
      </c>
      <c r="J98" s="35"/>
      <c r="K98" s="36"/>
      <c r="L98" s="36"/>
      <c r="M98" s="37" t="str">
        <f t="shared" si="22"/>
        <v/>
      </c>
      <c r="N98" s="37" t="str">
        <f t="shared" si="23"/>
        <v/>
      </c>
      <c r="O98" s="37" t="str">
        <f t="shared" si="24"/>
        <v/>
      </c>
      <c r="P98" s="38" t="str">
        <f>IF(O98="","",INDEX(Methodology!$B$26:$B$29,MATCH(O98,Methodology!$A$26:$A$29,1)))</f>
        <v/>
      </c>
      <c r="Q98" s="36"/>
      <c r="R98" s="37" t="str">
        <f t="shared" si="25"/>
        <v/>
      </c>
      <c r="S98" s="37" t="str">
        <f>IF(D98="","",IFERROR(IF(OR(INDEX(Appetite!$I$6:$I$17,MATCH(D98,Appetite!$A$6:$A$17,0))="OK",INDEX(Appetite!$I$6:$I$17,MATCH(D98,Appetite!$A$6:$A$17,0))="Review overdue - approved"),INDEX(Appetite!$C$6:$C$17,MATCH(D98,Appetite!$A$6:$A$17,0)),""),""))</f>
        <v/>
      </c>
      <c r="T98" s="37" t="str">
        <f>IF(D98="","",IFERROR(IF(OR(INDEX(Appetite!$I$6:$I$17,MATCH(D98,Appetite!$A$6:$A$17,0))="OK",INDEX(Appetite!$I$6:$I$17,MATCH(D98,Appetite!$A$6:$A$17,0))="Review overdue - approved"),INDEX(Appetite!$D$6:$D$17,MATCH(D98,Appetite!$A$6:$A$17,0)),""),""))</f>
        <v/>
      </c>
      <c r="U98" s="38" t="str">
        <f>IF(A98="","",IF(H98="Invalid inherent ratings","Invalid inherent ratings",IF(O98="","Assessment missing",IF(COUNTIF(Appetite!$A$6:$A$17,D98)=0,"Configuration missing",IF(OR(S98="",T98=""),"Configuration: "&amp;INDEX(Appetite!$I$6:$I$17,MATCH(D98,Appetite!$A$6:$A$17,0)),IF(O98&gt;T98,"Tolerance breach",IF(O98&gt;S98,"Appetite breach","Within appetite")))))))</f>
        <v/>
      </c>
      <c r="V98" s="38" t="str">
        <f>IF(A98="","",IF(COUNTIFS('Risk Acceptance Register'!$B$6:$B$105,A98,'Risk Acceptance Register'!$I$6:$I$105,"Approved")&gt;0,"Yes","No"))</f>
        <v/>
      </c>
      <c r="W98" s="38" t="str">
        <f>IF(V98&lt;&gt;"Yes","",IFERROR(IF(COUNTIFS('Risk Acceptance Register'!$B$6:$B$105,A98,'Risk Acceptance Register'!$T$6:$T$105,"Eligible")&gt;0,LOOKUP(2,1/(('Risk Acceptance Register'!$B$6:$B$105=A98)*('Risk Acceptance Register'!$T$6:$T$105="Eligible")),'Risk Acceptance Register'!$J$6:$J$105),LOOKUP(2,1/(('Risk Acceptance Register'!$B$6:$B$105=A98)*('Risk Acceptance Register'!$I$6:$I$105="Approved")),'Risk Acceptance Register'!$J$6:$J$105))&amp;"",""))</f>
        <v/>
      </c>
      <c r="X98" s="39" t="str">
        <f>IF(V98&lt;&gt;"Yes","",IFERROR(IF(IF(COUNTIFS('Risk Acceptance Register'!$B$6:$B$105,A98,'Risk Acceptance Register'!$T$6:$T$105,"Eligible")&gt;0,LOOKUP(2,1/(('Risk Acceptance Register'!$B$6:$B$105=A98)*('Risk Acceptance Register'!$T$6:$T$105="Eligible")),'Risk Acceptance Register'!$M$6:$M$105),LOOKUP(2,1/(('Risk Acceptance Register'!$B$6:$B$105=A98)*('Risk Acceptance Register'!$I$6:$I$105="Approved")),'Risk Acceptance Register'!$M$6:$M$105))=0,"",IF(COUNTIFS('Risk Acceptance Register'!$B$6:$B$105,A98,'Risk Acceptance Register'!$T$6:$T$105,"Eligible")&gt;0,LOOKUP(2,1/(('Risk Acceptance Register'!$B$6:$B$105=A98)*('Risk Acceptance Register'!$T$6:$T$105="Eligible")),'Risk Acceptance Register'!$M$6:$M$105),LOOKUP(2,1/(('Risk Acceptance Register'!$B$6:$B$105=A98)*('Risk Acceptance Register'!$I$6:$I$105="Approved")),'Risk Acceptance Register'!$M$6:$M$105))),""))</f>
        <v/>
      </c>
      <c r="Y98" s="38" t="str">
        <f>IF(A98="","",IF(U98="Within appetite","Within appetite",IF(AND(U98&lt;&gt;"Appetite breach",U98&lt;&gt;"Tolerance breach"),U98,IF(COUNTIFS('Risk Acceptance Register'!$B$6:$B$105,A98,'Risk Acceptance Register'!$T$6:$T$105,"Eligible")&gt;0,"Breach - formally accepted",IF(V98="Yes",IF(X98="","Accepted - expiry not set",IF(X98&lt;Methodology!$B$4,"Acceptance expired - breach open","Breach - not accepted")),"Breach - not accepted")))))</f>
        <v/>
      </c>
      <c r="Z98" s="40"/>
      <c r="AA98" s="38" t="str">
        <f>IF(OR(A98="",Z98=""),"",IF(Z98&lt;Methodology!$B$4,"Overdue","On schedule"))</f>
        <v/>
      </c>
      <c r="AB98" s="38" t="str">
        <f>IF(OR(U98="",U98="Within appetite"),"",MAX(AB$5:AB97)+1)</f>
        <v/>
      </c>
      <c r="AC98" s="38" t="str">
        <f>IF(A98="","",COUNTIF('Treatment Tracker'!$B$6:$B$105,A98)-COUNTIFS('Treatment Tracker'!$B$6:$B$105,A98,'Treatment Tracker'!$H$6:$H$105,"Completed")-COUNTIFS('Treatment Tracker'!$B$6:$B$105,A98,'Treatment Tracker'!$H$6:$H$105,"Cancelled"))</f>
        <v/>
      </c>
      <c r="AD98" s="38" t="str">
        <f t="shared" si="26"/>
        <v/>
      </c>
      <c r="AE98" s="35"/>
      <c r="AF98" s="35"/>
      <c r="AG98" s="40"/>
      <c r="AH98" s="35"/>
      <c r="AI98" s="38" t="str">
        <f>IF(A98="","",IF(OR(K98="",L98=""),"No assessment",IF(OR(NOT(ISNUMBER(K98)),NOT(ISNUMBER(L98))),"Invalid residual ratings",IF(OR(K98&lt;1,K98&gt;5,L98&lt;1,L98&gt;5,INT(K98)&lt;&gt;K98,INT(L98)&lt;&gt;L98),"Invalid residual ratings",IF(OR(AE98="",AF98="",AG98="",AH98=""),"Incomplete evidence",IF(NOT(ISNUMBER(AG98)),"Invalid assessment date",IF(OR(AG98&gt;Methodology!$B$4,AG98&lt;=0),"Invalid assessment date",IF(AG98+Methodology!$B$3&lt;Methodology!$B$4,"Expired",IF(AL98&lt;&gt;"Approved","Approval not confirmed","Valid")))))))))</f>
        <v/>
      </c>
      <c r="AJ98" s="38" t="str">
        <f>IF(OR(F98="",G98=""),"",MAX(1,ROUND(F98*(1-IFERROR(INDEX(Methodology!$B$41:$B$44,MATCH(J98,Methodology!$A$41:$A$44,0)),0)),0))*G98)</f>
        <v/>
      </c>
      <c r="AK98" s="38" t="str">
        <f t="shared" si="27"/>
        <v/>
      </c>
      <c r="AL98" s="36"/>
    </row>
    <row r="99" spans="1:38" x14ac:dyDescent="0.35">
      <c r="A99" s="35"/>
      <c r="B99" s="24"/>
      <c r="C99" s="24"/>
      <c r="D99" s="35"/>
      <c r="E99" s="35"/>
      <c r="F99" s="36"/>
      <c r="G99" s="36"/>
      <c r="H99" s="37" t="str">
        <f t="shared" si="21"/>
        <v/>
      </c>
      <c r="I99" s="38" t="str">
        <f>IF(NOT(ISNUMBER(H99)),"",INDEX(Methodology!$B$26:$B$29,MATCH(H99,Methodology!$A$26:$A$29,1)))</f>
        <v/>
      </c>
      <c r="J99" s="35"/>
      <c r="K99" s="36"/>
      <c r="L99" s="36"/>
      <c r="M99" s="37" t="str">
        <f t="shared" si="22"/>
        <v/>
      </c>
      <c r="N99" s="37" t="str">
        <f t="shared" si="23"/>
        <v/>
      </c>
      <c r="O99" s="37" t="str">
        <f t="shared" si="24"/>
        <v/>
      </c>
      <c r="P99" s="38" t="str">
        <f>IF(O99="","",INDEX(Methodology!$B$26:$B$29,MATCH(O99,Methodology!$A$26:$A$29,1)))</f>
        <v/>
      </c>
      <c r="Q99" s="36"/>
      <c r="R99" s="37" t="str">
        <f t="shared" si="25"/>
        <v/>
      </c>
      <c r="S99" s="37" t="str">
        <f>IF(D99="","",IFERROR(IF(OR(INDEX(Appetite!$I$6:$I$17,MATCH(D99,Appetite!$A$6:$A$17,0))="OK",INDEX(Appetite!$I$6:$I$17,MATCH(D99,Appetite!$A$6:$A$17,0))="Review overdue - approved"),INDEX(Appetite!$C$6:$C$17,MATCH(D99,Appetite!$A$6:$A$17,0)),""),""))</f>
        <v/>
      </c>
      <c r="T99" s="37" t="str">
        <f>IF(D99="","",IFERROR(IF(OR(INDEX(Appetite!$I$6:$I$17,MATCH(D99,Appetite!$A$6:$A$17,0))="OK",INDEX(Appetite!$I$6:$I$17,MATCH(D99,Appetite!$A$6:$A$17,0))="Review overdue - approved"),INDEX(Appetite!$D$6:$D$17,MATCH(D99,Appetite!$A$6:$A$17,0)),""),""))</f>
        <v/>
      </c>
      <c r="U99" s="38" t="str">
        <f>IF(A99="","",IF(H99="Invalid inherent ratings","Invalid inherent ratings",IF(O99="","Assessment missing",IF(COUNTIF(Appetite!$A$6:$A$17,D99)=0,"Configuration missing",IF(OR(S99="",T99=""),"Configuration: "&amp;INDEX(Appetite!$I$6:$I$17,MATCH(D99,Appetite!$A$6:$A$17,0)),IF(O99&gt;T99,"Tolerance breach",IF(O99&gt;S99,"Appetite breach","Within appetite")))))))</f>
        <v/>
      </c>
      <c r="V99" s="38" t="str">
        <f>IF(A99="","",IF(COUNTIFS('Risk Acceptance Register'!$B$6:$B$105,A99,'Risk Acceptance Register'!$I$6:$I$105,"Approved")&gt;0,"Yes","No"))</f>
        <v/>
      </c>
      <c r="W99" s="38" t="str">
        <f>IF(V99&lt;&gt;"Yes","",IFERROR(IF(COUNTIFS('Risk Acceptance Register'!$B$6:$B$105,A99,'Risk Acceptance Register'!$T$6:$T$105,"Eligible")&gt;0,LOOKUP(2,1/(('Risk Acceptance Register'!$B$6:$B$105=A99)*('Risk Acceptance Register'!$T$6:$T$105="Eligible")),'Risk Acceptance Register'!$J$6:$J$105),LOOKUP(2,1/(('Risk Acceptance Register'!$B$6:$B$105=A99)*('Risk Acceptance Register'!$I$6:$I$105="Approved")),'Risk Acceptance Register'!$J$6:$J$105))&amp;"",""))</f>
        <v/>
      </c>
      <c r="X99" s="39" t="str">
        <f>IF(V99&lt;&gt;"Yes","",IFERROR(IF(IF(COUNTIFS('Risk Acceptance Register'!$B$6:$B$105,A99,'Risk Acceptance Register'!$T$6:$T$105,"Eligible")&gt;0,LOOKUP(2,1/(('Risk Acceptance Register'!$B$6:$B$105=A99)*('Risk Acceptance Register'!$T$6:$T$105="Eligible")),'Risk Acceptance Register'!$M$6:$M$105),LOOKUP(2,1/(('Risk Acceptance Register'!$B$6:$B$105=A99)*('Risk Acceptance Register'!$I$6:$I$105="Approved")),'Risk Acceptance Register'!$M$6:$M$105))=0,"",IF(COUNTIFS('Risk Acceptance Register'!$B$6:$B$105,A99,'Risk Acceptance Register'!$T$6:$T$105,"Eligible")&gt;0,LOOKUP(2,1/(('Risk Acceptance Register'!$B$6:$B$105=A99)*('Risk Acceptance Register'!$T$6:$T$105="Eligible")),'Risk Acceptance Register'!$M$6:$M$105),LOOKUP(2,1/(('Risk Acceptance Register'!$B$6:$B$105=A99)*('Risk Acceptance Register'!$I$6:$I$105="Approved")),'Risk Acceptance Register'!$M$6:$M$105))),""))</f>
        <v/>
      </c>
      <c r="Y99" s="38" t="str">
        <f>IF(A99="","",IF(U99="Within appetite","Within appetite",IF(AND(U99&lt;&gt;"Appetite breach",U99&lt;&gt;"Tolerance breach"),U99,IF(COUNTIFS('Risk Acceptance Register'!$B$6:$B$105,A99,'Risk Acceptance Register'!$T$6:$T$105,"Eligible")&gt;0,"Breach - formally accepted",IF(V99="Yes",IF(X99="","Accepted - expiry not set",IF(X99&lt;Methodology!$B$4,"Acceptance expired - breach open","Breach - not accepted")),"Breach - not accepted")))))</f>
        <v/>
      </c>
      <c r="Z99" s="40"/>
      <c r="AA99" s="38" t="str">
        <f>IF(OR(A99="",Z99=""),"",IF(Z99&lt;Methodology!$B$4,"Overdue","On schedule"))</f>
        <v/>
      </c>
      <c r="AB99" s="38" t="str">
        <f>IF(OR(U99="",U99="Within appetite"),"",MAX(AB$5:AB98)+1)</f>
        <v/>
      </c>
      <c r="AC99" s="38" t="str">
        <f>IF(A99="","",COUNTIF('Treatment Tracker'!$B$6:$B$105,A99)-COUNTIFS('Treatment Tracker'!$B$6:$B$105,A99,'Treatment Tracker'!$H$6:$H$105,"Completed")-COUNTIFS('Treatment Tracker'!$B$6:$B$105,A99,'Treatment Tracker'!$H$6:$H$105,"Cancelled"))</f>
        <v/>
      </c>
      <c r="AD99" s="38" t="str">
        <f t="shared" si="26"/>
        <v/>
      </c>
      <c r="AE99" s="35"/>
      <c r="AF99" s="35"/>
      <c r="AG99" s="40"/>
      <c r="AH99" s="35"/>
      <c r="AI99" s="38" t="str">
        <f>IF(A99="","",IF(OR(K99="",L99=""),"No assessment",IF(OR(NOT(ISNUMBER(K99)),NOT(ISNUMBER(L99))),"Invalid residual ratings",IF(OR(K99&lt;1,K99&gt;5,L99&lt;1,L99&gt;5,INT(K99)&lt;&gt;K99,INT(L99)&lt;&gt;L99),"Invalid residual ratings",IF(OR(AE99="",AF99="",AG99="",AH99=""),"Incomplete evidence",IF(NOT(ISNUMBER(AG99)),"Invalid assessment date",IF(OR(AG99&gt;Methodology!$B$4,AG99&lt;=0),"Invalid assessment date",IF(AG99+Methodology!$B$3&lt;Methodology!$B$4,"Expired",IF(AL99&lt;&gt;"Approved","Approval not confirmed","Valid")))))))))</f>
        <v/>
      </c>
      <c r="AJ99" s="38" t="str">
        <f>IF(OR(F99="",G99=""),"",MAX(1,ROUND(F99*(1-IFERROR(INDEX(Methodology!$B$41:$B$44,MATCH(J99,Methodology!$A$41:$A$44,0)),0)),0))*G99)</f>
        <v/>
      </c>
      <c r="AK99" s="38" t="str">
        <f t="shared" si="27"/>
        <v/>
      </c>
      <c r="AL99" s="36"/>
    </row>
    <row r="100" spans="1:38" x14ac:dyDescent="0.35">
      <c r="A100" s="35"/>
      <c r="B100" s="24"/>
      <c r="C100" s="24"/>
      <c r="D100" s="35"/>
      <c r="E100" s="35"/>
      <c r="F100" s="36"/>
      <c r="G100" s="36"/>
      <c r="H100" s="37" t="str">
        <f t="shared" si="21"/>
        <v/>
      </c>
      <c r="I100" s="38" t="str">
        <f>IF(NOT(ISNUMBER(H100)),"",INDEX(Methodology!$B$26:$B$29,MATCH(H100,Methodology!$A$26:$A$29,1)))</f>
        <v/>
      </c>
      <c r="J100" s="35"/>
      <c r="K100" s="36"/>
      <c r="L100" s="36"/>
      <c r="M100" s="37" t="str">
        <f t="shared" si="22"/>
        <v/>
      </c>
      <c r="N100" s="37" t="str">
        <f t="shared" si="23"/>
        <v/>
      </c>
      <c r="O100" s="37" t="str">
        <f t="shared" si="24"/>
        <v/>
      </c>
      <c r="P100" s="38" t="str">
        <f>IF(O100="","",INDEX(Methodology!$B$26:$B$29,MATCH(O100,Methodology!$A$26:$A$29,1)))</f>
        <v/>
      </c>
      <c r="Q100" s="36"/>
      <c r="R100" s="37" t="str">
        <f t="shared" si="25"/>
        <v/>
      </c>
      <c r="S100" s="37" t="str">
        <f>IF(D100="","",IFERROR(IF(OR(INDEX(Appetite!$I$6:$I$17,MATCH(D100,Appetite!$A$6:$A$17,0))="OK",INDEX(Appetite!$I$6:$I$17,MATCH(D100,Appetite!$A$6:$A$17,0))="Review overdue - approved"),INDEX(Appetite!$C$6:$C$17,MATCH(D100,Appetite!$A$6:$A$17,0)),""),""))</f>
        <v/>
      </c>
      <c r="T100" s="37" t="str">
        <f>IF(D100="","",IFERROR(IF(OR(INDEX(Appetite!$I$6:$I$17,MATCH(D100,Appetite!$A$6:$A$17,0))="OK",INDEX(Appetite!$I$6:$I$17,MATCH(D100,Appetite!$A$6:$A$17,0))="Review overdue - approved"),INDEX(Appetite!$D$6:$D$17,MATCH(D100,Appetite!$A$6:$A$17,0)),""),""))</f>
        <v/>
      </c>
      <c r="U100" s="38" t="str">
        <f>IF(A100="","",IF(H100="Invalid inherent ratings","Invalid inherent ratings",IF(O100="","Assessment missing",IF(COUNTIF(Appetite!$A$6:$A$17,D100)=0,"Configuration missing",IF(OR(S100="",T100=""),"Configuration: "&amp;INDEX(Appetite!$I$6:$I$17,MATCH(D100,Appetite!$A$6:$A$17,0)),IF(O100&gt;T100,"Tolerance breach",IF(O100&gt;S100,"Appetite breach","Within appetite")))))))</f>
        <v/>
      </c>
      <c r="V100" s="38" t="str">
        <f>IF(A100="","",IF(COUNTIFS('Risk Acceptance Register'!$B$6:$B$105,A100,'Risk Acceptance Register'!$I$6:$I$105,"Approved")&gt;0,"Yes","No"))</f>
        <v/>
      </c>
      <c r="W100" s="38" t="str">
        <f>IF(V100&lt;&gt;"Yes","",IFERROR(IF(COUNTIFS('Risk Acceptance Register'!$B$6:$B$105,A100,'Risk Acceptance Register'!$T$6:$T$105,"Eligible")&gt;0,LOOKUP(2,1/(('Risk Acceptance Register'!$B$6:$B$105=A100)*('Risk Acceptance Register'!$T$6:$T$105="Eligible")),'Risk Acceptance Register'!$J$6:$J$105),LOOKUP(2,1/(('Risk Acceptance Register'!$B$6:$B$105=A100)*('Risk Acceptance Register'!$I$6:$I$105="Approved")),'Risk Acceptance Register'!$J$6:$J$105))&amp;"",""))</f>
        <v/>
      </c>
      <c r="X100" s="39" t="str">
        <f>IF(V100&lt;&gt;"Yes","",IFERROR(IF(IF(COUNTIFS('Risk Acceptance Register'!$B$6:$B$105,A100,'Risk Acceptance Register'!$T$6:$T$105,"Eligible")&gt;0,LOOKUP(2,1/(('Risk Acceptance Register'!$B$6:$B$105=A100)*('Risk Acceptance Register'!$T$6:$T$105="Eligible")),'Risk Acceptance Register'!$M$6:$M$105),LOOKUP(2,1/(('Risk Acceptance Register'!$B$6:$B$105=A100)*('Risk Acceptance Register'!$I$6:$I$105="Approved")),'Risk Acceptance Register'!$M$6:$M$105))=0,"",IF(COUNTIFS('Risk Acceptance Register'!$B$6:$B$105,A100,'Risk Acceptance Register'!$T$6:$T$105,"Eligible")&gt;0,LOOKUP(2,1/(('Risk Acceptance Register'!$B$6:$B$105=A100)*('Risk Acceptance Register'!$T$6:$T$105="Eligible")),'Risk Acceptance Register'!$M$6:$M$105),LOOKUP(2,1/(('Risk Acceptance Register'!$B$6:$B$105=A100)*('Risk Acceptance Register'!$I$6:$I$105="Approved")),'Risk Acceptance Register'!$M$6:$M$105))),""))</f>
        <v/>
      </c>
      <c r="Y100" s="38" t="str">
        <f>IF(A100="","",IF(U100="Within appetite","Within appetite",IF(AND(U100&lt;&gt;"Appetite breach",U100&lt;&gt;"Tolerance breach"),U100,IF(COUNTIFS('Risk Acceptance Register'!$B$6:$B$105,A100,'Risk Acceptance Register'!$T$6:$T$105,"Eligible")&gt;0,"Breach - formally accepted",IF(V100="Yes",IF(X100="","Accepted - expiry not set",IF(X100&lt;Methodology!$B$4,"Acceptance expired - breach open","Breach - not accepted")),"Breach - not accepted")))))</f>
        <v/>
      </c>
      <c r="Z100" s="40"/>
      <c r="AA100" s="38" t="str">
        <f>IF(OR(A100="",Z100=""),"",IF(Z100&lt;Methodology!$B$4,"Overdue","On schedule"))</f>
        <v/>
      </c>
      <c r="AB100" s="38" t="str">
        <f>IF(OR(U100="",U100="Within appetite"),"",MAX(AB$5:AB99)+1)</f>
        <v/>
      </c>
      <c r="AC100" s="38" t="str">
        <f>IF(A100="","",COUNTIF('Treatment Tracker'!$B$6:$B$105,A100)-COUNTIFS('Treatment Tracker'!$B$6:$B$105,A100,'Treatment Tracker'!$H$6:$H$105,"Completed")-COUNTIFS('Treatment Tracker'!$B$6:$B$105,A100,'Treatment Tracker'!$H$6:$H$105,"Cancelled"))</f>
        <v/>
      </c>
      <c r="AD100" s="38" t="str">
        <f t="shared" si="26"/>
        <v/>
      </c>
      <c r="AE100" s="35"/>
      <c r="AF100" s="35"/>
      <c r="AG100" s="40"/>
      <c r="AH100" s="35"/>
      <c r="AI100" s="38" t="str">
        <f>IF(A100="","",IF(OR(K100="",L100=""),"No assessment",IF(OR(NOT(ISNUMBER(K100)),NOT(ISNUMBER(L100))),"Invalid residual ratings",IF(OR(K100&lt;1,K100&gt;5,L100&lt;1,L100&gt;5,INT(K100)&lt;&gt;K100,INT(L100)&lt;&gt;L100),"Invalid residual ratings",IF(OR(AE100="",AF100="",AG100="",AH100=""),"Incomplete evidence",IF(NOT(ISNUMBER(AG100)),"Invalid assessment date",IF(OR(AG100&gt;Methodology!$B$4,AG100&lt;=0),"Invalid assessment date",IF(AG100+Methodology!$B$3&lt;Methodology!$B$4,"Expired",IF(AL100&lt;&gt;"Approved","Approval not confirmed","Valid")))))))))</f>
        <v/>
      </c>
      <c r="AJ100" s="38" t="str">
        <f>IF(OR(F100="",G100=""),"",MAX(1,ROUND(F100*(1-IFERROR(INDEX(Methodology!$B$41:$B$44,MATCH(J100,Methodology!$A$41:$A$44,0)),0)),0))*G100)</f>
        <v/>
      </c>
      <c r="AK100" s="38" t="str">
        <f t="shared" si="27"/>
        <v/>
      </c>
      <c r="AL100" s="36"/>
    </row>
    <row r="101" spans="1:38" x14ac:dyDescent="0.35">
      <c r="A101" s="35"/>
      <c r="B101" s="24"/>
      <c r="C101" s="24"/>
      <c r="D101" s="35"/>
      <c r="E101" s="35"/>
      <c r="F101" s="36"/>
      <c r="G101" s="36"/>
      <c r="H101" s="37" t="str">
        <f t="shared" si="21"/>
        <v/>
      </c>
      <c r="I101" s="38" t="str">
        <f>IF(NOT(ISNUMBER(H101)),"",INDEX(Methodology!$B$26:$B$29,MATCH(H101,Methodology!$A$26:$A$29,1)))</f>
        <v/>
      </c>
      <c r="J101" s="35"/>
      <c r="K101" s="36"/>
      <c r="L101" s="36"/>
      <c r="M101" s="37" t="str">
        <f t="shared" si="22"/>
        <v/>
      </c>
      <c r="N101" s="37" t="str">
        <f t="shared" si="23"/>
        <v/>
      </c>
      <c r="O101" s="37" t="str">
        <f t="shared" si="24"/>
        <v/>
      </c>
      <c r="P101" s="38" t="str">
        <f>IF(O101="","",INDEX(Methodology!$B$26:$B$29,MATCH(O101,Methodology!$A$26:$A$29,1)))</f>
        <v/>
      </c>
      <c r="Q101" s="36"/>
      <c r="R101" s="37" t="str">
        <f t="shared" si="25"/>
        <v/>
      </c>
      <c r="S101" s="37" t="str">
        <f>IF(D101="","",IFERROR(IF(OR(INDEX(Appetite!$I$6:$I$17,MATCH(D101,Appetite!$A$6:$A$17,0))="OK",INDEX(Appetite!$I$6:$I$17,MATCH(D101,Appetite!$A$6:$A$17,0))="Review overdue - approved"),INDEX(Appetite!$C$6:$C$17,MATCH(D101,Appetite!$A$6:$A$17,0)),""),""))</f>
        <v/>
      </c>
      <c r="T101" s="37" t="str">
        <f>IF(D101="","",IFERROR(IF(OR(INDEX(Appetite!$I$6:$I$17,MATCH(D101,Appetite!$A$6:$A$17,0))="OK",INDEX(Appetite!$I$6:$I$17,MATCH(D101,Appetite!$A$6:$A$17,0))="Review overdue - approved"),INDEX(Appetite!$D$6:$D$17,MATCH(D101,Appetite!$A$6:$A$17,0)),""),""))</f>
        <v/>
      </c>
      <c r="U101" s="38" t="str">
        <f>IF(A101="","",IF(H101="Invalid inherent ratings","Invalid inherent ratings",IF(O101="","Assessment missing",IF(COUNTIF(Appetite!$A$6:$A$17,D101)=0,"Configuration missing",IF(OR(S101="",T101=""),"Configuration: "&amp;INDEX(Appetite!$I$6:$I$17,MATCH(D101,Appetite!$A$6:$A$17,0)),IF(O101&gt;T101,"Tolerance breach",IF(O101&gt;S101,"Appetite breach","Within appetite")))))))</f>
        <v/>
      </c>
      <c r="V101" s="38" t="str">
        <f>IF(A101="","",IF(COUNTIFS('Risk Acceptance Register'!$B$6:$B$105,A101,'Risk Acceptance Register'!$I$6:$I$105,"Approved")&gt;0,"Yes","No"))</f>
        <v/>
      </c>
      <c r="W101" s="38" t="str">
        <f>IF(V101&lt;&gt;"Yes","",IFERROR(IF(COUNTIFS('Risk Acceptance Register'!$B$6:$B$105,A101,'Risk Acceptance Register'!$T$6:$T$105,"Eligible")&gt;0,LOOKUP(2,1/(('Risk Acceptance Register'!$B$6:$B$105=A101)*('Risk Acceptance Register'!$T$6:$T$105="Eligible")),'Risk Acceptance Register'!$J$6:$J$105),LOOKUP(2,1/(('Risk Acceptance Register'!$B$6:$B$105=A101)*('Risk Acceptance Register'!$I$6:$I$105="Approved")),'Risk Acceptance Register'!$J$6:$J$105))&amp;"",""))</f>
        <v/>
      </c>
      <c r="X101" s="39" t="str">
        <f>IF(V101&lt;&gt;"Yes","",IFERROR(IF(IF(COUNTIFS('Risk Acceptance Register'!$B$6:$B$105,A101,'Risk Acceptance Register'!$T$6:$T$105,"Eligible")&gt;0,LOOKUP(2,1/(('Risk Acceptance Register'!$B$6:$B$105=A101)*('Risk Acceptance Register'!$T$6:$T$105="Eligible")),'Risk Acceptance Register'!$M$6:$M$105),LOOKUP(2,1/(('Risk Acceptance Register'!$B$6:$B$105=A101)*('Risk Acceptance Register'!$I$6:$I$105="Approved")),'Risk Acceptance Register'!$M$6:$M$105))=0,"",IF(COUNTIFS('Risk Acceptance Register'!$B$6:$B$105,A101,'Risk Acceptance Register'!$T$6:$T$105,"Eligible")&gt;0,LOOKUP(2,1/(('Risk Acceptance Register'!$B$6:$B$105=A101)*('Risk Acceptance Register'!$T$6:$T$105="Eligible")),'Risk Acceptance Register'!$M$6:$M$105),LOOKUP(2,1/(('Risk Acceptance Register'!$B$6:$B$105=A101)*('Risk Acceptance Register'!$I$6:$I$105="Approved")),'Risk Acceptance Register'!$M$6:$M$105))),""))</f>
        <v/>
      </c>
      <c r="Y101" s="38" t="str">
        <f>IF(A101="","",IF(U101="Within appetite","Within appetite",IF(AND(U101&lt;&gt;"Appetite breach",U101&lt;&gt;"Tolerance breach"),U101,IF(COUNTIFS('Risk Acceptance Register'!$B$6:$B$105,A101,'Risk Acceptance Register'!$T$6:$T$105,"Eligible")&gt;0,"Breach - formally accepted",IF(V101="Yes",IF(X101="","Accepted - expiry not set",IF(X101&lt;Methodology!$B$4,"Acceptance expired - breach open","Breach - not accepted")),"Breach - not accepted")))))</f>
        <v/>
      </c>
      <c r="Z101" s="40"/>
      <c r="AA101" s="38" t="str">
        <f>IF(OR(A101="",Z101=""),"",IF(Z101&lt;Methodology!$B$4,"Overdue","On schedule"))</f>
        <v/>
      </c>
      <c r="AB101" s="38" t="str">
        <f>IF(OR(U101="",U101="Within appetite"),"",MAX(AB$5:AB100)+1)</f>
        <v/>
      </c>
      <c r="AC101" s="38" t="str">
        <f>IF(A101="","",COUNTIF('Treatment Tracker'!$B$6:$B$105,A101)-COUNTIFS('Treatment Tracker'!$B$6:$B$105,A101,'Treatment Tracker'!$H$6:$H$105,"Completed")-COUNTIFS('Treatment Tracker'!$B$6:$B$105,A101,'Treatment Tracker'!$H$6:$H$105,"Cancelled"))</f>
        <v/>
      </c>
      <c r="AD101" s="38" t="str">
        <f t="shared" si="26"/>
        <v/>
      </c>
      <c r="AE101" s="35"/>
      <c r="AF101" s="35"/>
      <c r="AG101" s="40"/>
      <c r="AH101" s="35"/>
      <c r="AI101" s="38" t="str">
        <f>IF(A101="","",IF(OR(K101="",L101=""),"No assessment",IF(OR(NOT(ISNUMBER(K101)),NOT(ISNUMBER(L101))),"Invalid residual ratings",IF(OR(K101&lt;1,K101&gt;5,L101&lt;1,L101&gt;5,INT(K101)&lt;&gt;K101,INT(L101)&lt;&gt;L101),"Invalid residual ratings",IF(OR(AE101="",AF101="",AG101="",AH101=""),"Incomplete evidence",IF(NOT(ISNUMBER(AG101)),"Invalid assessment date",IF(OR(AG101&gt;Methodology!$B$4,AG101&lt;=0),"Invalid assessment date",IF(AG101+Methodology!$B$3&lt;Methodology!$B$4,"Expired",IF(AL101&lt;&gt;"Approved","Approval not confirmed","Valid")))))))))</f>
        <v/>
      </c>
      <c r="AJ101" s="38" t="str">
        <f>IF(OR(F101="",G101=""),"",MAX(1,ROUND(F101*(1-IFERROR(INDEX(Methodology!$B$41:$B$44,MATCH(J101,Methodology!$A$41:$A$44,0)),0)),0))*G101)</f>
        <v/>
      </c>
      <c r="AK101" s="38" t="str">
        <f t="shared" si="27"/>
        <v/>
      </c>
      <c r="AL101" s="36"/>
    </row>
    <row r="102" spans="1:38" x14ac:dyDescent="0.35">
      <c r="A102" s="35"/>
      <c r="B102" s="24"/>
      <c r="C102" s="24"/>
      <c r="D102" s="35"/>
      <c r="E102" s="35"/>
      <c r="F102" s="36"/>
      <c r="G102" s="36"/>
      <c r="H102" s="37" t="str">
        <f t="shared" ref="H102:H105" si="28">IF(A102="","",IF(OR(F102="",G102=""),"",IF(OR(NOT(ISNUMBER(F102)),NOT(ISNUMBER(G102))),"Invalid inherent ratings",IF(OR(F102&lt;1,F102&gt;5,G102&lt;1,G102&gt;5,INT(F102)&lt;&gt;F102,INT(G102)&lt;&gt;G102),"Invalid inherent ratings",F102*G102))))</f>
        <v/>
      </c>
      <c r="I102" s="38" t="str">
        <f>IF(NOT(ISNUMBER(H102)),"",INDEX(Methodology!$B$26:$B$29,MATCH(H102,Methodology!$A$26:$A$29,1)))</f>
        <v/>
      </c>
      <c r="J102" s="35"/>
      <c r="K102" s="36"/>
      <c r="L102" s="36"/>
      <c r="M102" s="37" t="str">
        <f t="shared" si="22"/>
        <v/>
      </c>
      <c r="N102" s="37" t="str">
        <f t="shared" si="23"/>
        <v/>
      </c>
      <c r="O102" s="37" t="str">
        <f t="shared" ref="O102:O105" si="29">IF(OR(M102="",N102=""),"",M102*N102)</f>
        <v/>
      </c>
      <c r="P102" s="38" t="str">
        <f>IF(O102="","",INDEX(Methodology!$B$26:$B$29,MATCH(O102,Methodology!$A$26:$A$29,1)))</f>
        <v/>
      </c>
      <c r="Q102" s="36"/>
      <c r="R102" s="37" t="str">
        <f t="shared" ref="R102:R105" si="30">IF(OR(O102="",Q102=""),"",O102-Q102)</f>
        <v/>
      </c>
      <c r="S102" s="37" t="str">
        <f>IF(D102="","",IFERROR(IF(OR(INDEX(Appetite!$I$6:$I$17,MATCH(D102,Appetite!$A$6:$A$17,0))="OK",INDEX(Appetite!$I$6:$I$17,MATCH(D102,Appetite!$A$6:$A$17,0))="Review overdue - approved"),INDEX(Appetite!$C$6:$C$17,MATCH(D102,Appetite!$A$6:$A$17,0)),""),""))</f>
        <v/>
      </c>
      <c r="T102" s="37" t="str">
        <f>IF(D102="","",IFERROR(IF(OR(INDEX(Appetite!$I$6:$I$17,MATCH(D102,Appetite!$A$6:$A$17,0))="OK",INDEX(Appetite!$I$6:$I$17,MATCH(D102,Appetite!$A$6:$A$17,0))="Review overdue - approved"),INDEX(Appetite!$D$6:$D$17,MATCH(D102,Appetite!$A$6:$A$17,0)),""),""))</f>
        <v/>
      </c>
      <c r="U102" s="38" t="str">
        <f>IF(A102="","",IF(H102="Invalid inherent ratings","Invalid inherent ratings",IF(O102="","Assessment missing",IF(COUNTIF(Appetite!$A$6:$A$17,D102)=0,"Configuration missing",IF(OR(S102="",T102=""),"Configuration: "&amp;INDEX(Appetite!$I$6:$I$17,MATCH(D102,Appetite!$A$6:$A$17,0)),IF(O102&gt;T102,"Tolerance breach",IF(O102&gt;S102,"Appetite breach","Within appetite")))))))</f>
        <v/>
      </c>
      <c r="V102" s="38" t="str">
        <f>IF(A102="","",IF(COUNTIFS('Risk Acceptance Register'!$B$6:$B$105,A102,'Risk Acceptance Register'!$I$6:$I$105,"Approved")&gt;0,"Yes","No"))</f>
        <v/>
      </c>
      <c r="W102" s="38" t="str">
        <f>IF(V102&lt;&gt;"Yes","",IFERROR(IF(COUNTIFS('Risk Acceptance Register'!$B$6:$B$105,A102,'Risk Acceptance Register'!$T$6:$T$105,"Eligible")&gt;0,LOOKUP(2,1/(('Risk Acceptance Register'!$B$6:$B$105=A102)*('Risk Acceptance Register'!$T$6:$T$105="Eligible")),'Risk Acceptance Register'!$J$6:$J$105),LOOKUP(2,1/(('Risk Acceptance Register'!$B$6:$B$105=A102)*('Risk Acceptance Register'!$I$6:$I$105="Approved")),'Risk Acceptance Register'!$J$6:$J$105))&amp;"",""))</f>
        <v/>
      </c>
      <c r="X102" s="39" t="str">
        <f>IF(V102&lt;&gt;"Yes","",IFERROR(IF(IF(COUNTIFS('Risk Acceptance Register'!$B$6:$B$105,A102,'Risk Acceptance Register'!$T$6:$T$105,"Eligible")&gt;0,LOOKUP(2,1/(('Risk Acceptance Register'!$B$6:$B$105=A102)*('Risk Acceptance Register'!$T$6:$T$105="Eligible")),'Risk Acceptance Register'!$M$6:$M$105),LOOKUP(2,1/(('Risk Acceptance Register'!$B$6:$B$105=A102)*('Risk Acceptance Register'!$I$6:$I$105="Approved")),'Risk Acceptance Register'!$M$6:$M$105))=0,"",IF(COUNTIFS('Risk Acceptance Register'!$B$6:$B$105,A102,'Risk Acceptance Register'!$T$6:$T$105,"Eligible")&gt;0,LOOKUP(2,1/(('Risk Acceptance Register'!$B$6:$B$105=A102)*('Risk Acceptance Register'!$T$6:$T$105="Eligible")),'Risk Acceptance Register'!$M$6:$M$105),LOOKUP(2,1/(('Risk Acceptance Register'!$B$6:$B$105=A102)*('Risk Acceptance Register'!$I$6:$I$105="Approved")),'Risk Acceptance Register'!$M$6:$M$105))),""))</f>
        <v/>
      </c>
      <c r="Y102" s="38" t="str">
        <f>IF(A102="","",IF(U102="Within appetite","Within appetite",IF(AND(U102&lt;&gt;"Appetite breach",U102&lt;&gt;"Tolerance breach"),U102,IF(COUNTIFS('Risk Acceptance Register'!$B$6:$B$105,A102,'Risk Acceptance Register'!$T$6:$T$105,"Eligible")&gt;0,"Breach - formally accepted",IF(V102="Yes",IF(X102="","Accepted - expiry not set",IF(X102&lt;Methodology!$B$4,"Acceptance expired - breach open","Breach - not accepted")),"Breach - not accepted")))))</f>
        <v/>
      </c>
      <c r="Z102" s="40"/>
      <c r="AA102" s="38" t="str">
        <f>IF(OR(A102="",Z102=""),"",IF(Z102&lt;Methodology!$B$4,"Overdue","On schedule"))</f>
        <v/>
      </c>
      <c r="AB102" s="38" t="str">
        <f>IF(OR(U102="",U102="Within appetite"),"",MAX(AB$5:AB101)+1)</f>
        <v/>
      </c>
      <c r="AC102" s="38" t="str">
        <f>IF(A102="","",COUNTIF('Treatment Tracker'!$B$6:$B$105,A102)-COUNTIFS('Treatment Tracker'!$B$6:$B$105,A102,'Treatment Tracker'!$H$6:$H$105,"Completed")-COUNTIFS('Treatment Tracker'!$B$6:$B$105,A102,'Treatment Tracker'!$H$6:$H$105,"Cancelled"))</f>
        <v/>
      </c>
      <c r="AD102" s="38" t="str">
        <f t="shared" ref="AD102:AD105" si="31">IF(OR(U102="",U102="Within appetite"),"",IF(AND(AC102=0,Y102&lt;&gt;"Breach - formally accepted"),"Gap",""))</f>
        <v/>
      </c>
      <c r="AE102" s="35"/>
      <c r="AF102" s="35"/>
      <c r="AG102" s="40"/>
      <c r="AH102" s="35"/>
      <c r="AI102" s="38" t="str">
        <f>IF(A102="","",IF(OR(K102="",L102=""),"No assessment",IF(OR(NOT(ISNUMBER(K102)),NOT(ISNUMBER(L102))),"Invalid residual ratings",IF(OR(K102&lt;1,K102&gt;5,L102&lt;1,L102&gt;5,INT(K102)&lt;&gt;K102,INT(L102)&lt;&gt;L102),"Invalid residual ratings",IF(OR(AE102="",AF102="",AG102="",AH102=""),"Incomplete evidence",IF(NOT(ISNUMBER(AG102)),"Invalid assessment date",IF(OR(AG102&gt;Methodology!$B$4,AG102&lt;=0),"Invalid assessment date",IF(AG102+Methodology!$B$3&lt;Methodology!$B$4,"Expired",IF(AL102&lt;&gt;"Approved","Approval not confirmed","Valid")))))))))</f>
        <v/>
      </c>
      <c r="AJ102" s="38" t="str">
        <f>IF(OR(F102="",G102=""),"",MAX(1,ROUND(F102*(1-IFERROR(INDEX(Methodology!$B$41:$B$44,MATCH(J102,Methodology!$A$41:$A$44,0)),0)),0))*G102)</f>
        <v/>
      </c>
      <c r="AK102" s="38" t="str">
        <f t="shared" si="27"/>
        <v/>
      </c>
      <c r="AL102" s="36"/>
    </row>
    <row r="103" spans="1:38" x14ac:dyDescent="0.35">
      <c r="A103" s="35"/>
      <c r="B103" s="24"/>
      <c r="C103" s="24"/>
      <c r="D103" s="35"/>
      <c r="E103" s="35"/>
      <c r="F103" s="36"/>
      <c r="G103" s="36"/>
      <c r="H103" s="37" t="str">
        <f t="shared" si="28"/>
        <v/>
      </c>
      <c r="I103" s="38" t="str">
        <f>IF(NOT(ISNUMBER(H103)),"",INDEX(Methodology!$B$26:$B$29,MATCH(H103,Methodology!$A$26:$A$29,1)))</f>
        <v/>
      </c>
      <c r="J103" s="35"/>
      <c r="K103" s="36"/>
      <c r="L103" s="36"/>
      <c r="M103" s="37" t="str">
        <f t="shared" si="22"/>
        <v/>
      </c>
      <c r="N103" s="37" t="str">
        <f t="shared" si="23"/>
        <v/>
      </c>
      <c r="O103" s="37" t="str">
        <f t="shared" si="29"/>
        <v/>
      </c>
      <c r="P103" s="38" t="str">
        <f>IF(O103="","",INDEX(Methodology!$B$26:$B$29,MATCH(O103,Methodology!$A$26:$A$29,1)))</f>
        <v/>
      </c>
      <c r="Q103" s="36"/>
      <c r="R103" s="37" t="str">
        <f t="shared" si="30"/>
        <v/>
      </c>
      <c r="S103" s="37" t="str">
        <f>IF(D103="","",IFERROR(IF(OR(INDEX(Appetite!$I$6:$I$17,MATCH(D103,Appetite!$A$6:$A$17,0))="OK",INDEX(Appetite!$I$6:$I$17,MATCH(D103,Appetite!$A$6:$A$17,0))="Review overdue - approved"),INDEX(Appetite!$C$6:$C$17,MATCH(D103,Appetite!$A$6:$A$17,0)),""),""))</f>
        <v/>
      </c>
      <c r="T103" s="37" t="str">
        <f>IF(D103="","",IFERROR(IF(OR(INDEX(Appetite!$I$6:$I$17,MATCH(D103,Appetite!$A$6:$A$17,0))="OK",INDEX(Appetite!$I$6:$I$17,MATCH(D103,Appetite!$A$6:$A$17,0))="Review overdue - approved"),INDEX(Appetite!$D$6:$D$17,MATCH(D103,Appetite!$A$6:$A$17,0)),""),""))</f>
        <v/>
      </c>
      <c r="U103" s="38" t="str">
        <f>IF(A103="","",IF(H103="Invalid inherent ratings","Invalid inherent ratings",IF(O103="","Assessment missing",IF(COUNTIF(Appetite!$A$6:$A$17,D103)=0,"Configuration missing",IF(OR(S103="",T103=""),"Configuration: "&amp;INDEX(Appetite!$I$6:$I$17,MATCH(D103,Appetite!$A$6:$A$17,0)),IF(O103&gt;T103,"Tolerance breach",IF(O103&gt;S103,"Appetite breach","Within appetite")))))))</f>
        <v/>
      </c>
      <c r="V103" s="38" t="str">
        <f>IF(A103="","",IF(COUNTIFS('Risk Acceptance Register'!$B$6:$B$105,A103,'Risk Acceptance Register'!$I$6:$I$105,"Approved")&gt;0,"Yes","No"))</f>
        <v/>
      </c>
      <c r="W103" s="38" t="str">
        <f>IF(V103&lt;&gt;"Yes","",IFERROR(IF(COUNTIFS('Risk Acceptance Register'!$B$6:$B$105,A103,'Risk Acceptance Register'!$T$6:$T$105,"Eligible")&gt;0,LOOKUP(2,1/(('Risk Acceptance Register'!$B$6:$B$105=A103)*('Risk Acceptance Register'!$T$6:$T$105="Eligible")),'Risk Acceptance Register'!$J$6:$J$105),LOOKUP(2,1/(('Risk Acceptance Register'!$B$6:$B$105=A103)*('Risk Acceptance Register'!$I$6:$I$105="Approved")),'Risk Acceptance Register'!$J$6:$J$105))&amp;"",""))</f>
        <v/>
      </c>
      <c r="X103" s="39" t="str">
        <f>IF(V103&lt;&gt;"Yes","",IFERROR(IF(IF(COUNTIFS('Risk Acceptance Register'!$B$6:$B$105,A103,'Risk Acceptance Register'!$T$6:$T$105,"Eligible")&gt;0,LOOKUP(2,1/(('Risk Acceptance Register'!$B$6:$B$105=A103)*('Risk Acceptance Register'!$T$6:$T$105="Eligible")),'Risk Acceptance Register'!$M$6:$M$105),LOOKUP(2,1/(('Risk Acceptance Register'!$B$6:$B$105=A103)*('Risk Acceptance Register'!$I$6:$I$105="Approved")),'Risk Acceptance Register'!$M$6:$M$105))=0,"",IF(COUNTIFS('Risk Acceptance Register'!$B$6:$B$105,A103,'Risk Acceptance Register'!$T$6:$T$105,"Eligible")&gt;0,LOOKUP(2,1/(('Risk Acceptance Register'!$B$6:$B$105=A103)*('Risk Acceptance Register'!$T$6:$T$105="Eligible")),'Risk Acceptance Register'!$M$6:$M$105),LOOKUP(2,1/(('Risk Acceptance Register'!$B$6:$B$105=A103)*('Risk Acceptance Register'!$I$6:$I$105="Approved")),'Risk Acceptance Register'!$M$6:$M$105))),""))</f>
        <v/>
      </c>
      <c r="Y103" s="38" t="str">
        <f>IF(A103="","",IF(U103="Within appetite","Within appetite",IF(AND(U103&lt;&gt;"Appetite breach",U103&lt;&gt;"Tolerance breach"),U103,IF(COUNTIFS('Risk Acceptance Register'!$B$6:$B$105,A103,'Risk Acceptance Register'!$T$6:$T$105,"Eligible")&gt;0,"Breach - formally accepted",IF(V103="Yes",IF(X103="","Accepted - expiry not set",IF(X103&lt;Methodology!$B$4,"Acceptance expired - breach open","Breach - not accepted")),"Breach - not accepted")))))</f>
        <v/>
      </c>
      <c r="Z103" s="40"/>
      <c r="AA103" s="38" t="str">
        <f>IF(OR(A103="",Z103=""),"",IF(Z103&lt;Methodology!$B$4,"Overdue","On schedule"))</f>
        <v/>
      </c>
      <c r="AB103" s="38" t="str">
        <f>IF(OR(U103="",U103="Within appetite"),"",MAX(AB$5:AB102)+1)</f>
        <v/>
      </c>
      <c r="AC103" s="38" t="str">
        <f>IF(A103="","",COUNTIF('Treatment Tracker'!$B$6:$B$105,A103)-COUNTIFS('Treatment Tracker'!$B$6:$B$105,A103,'Treatment Tracker'!$H$6:$H$105,"Completed")-COUNTIFS('Treatment Tracker'!$B$6:$B$105,A103,'Treatment Tracker'!$H$6:$H$105,"Cancelled"))</f>
        <v/>
      </c>
      <c r="AD103" s="38" t="str">
        <f t="shared" si="31"/>
        <v/>
      </c>
      <c r="AE103" s="35"/>
      <c r="AF103" s="35"/>
      <c r="AG103" s="40"/>
      <c r="AH103" s="35"/>
      <c r="AI103" s="38" t="str">
        <f>IF(A103="","",IF(OR(K103="",L103=""),"No assessment",IF(OR(NOT(ISNUMBER(K103)),NOT(ISNUMBER(L103))),"Invalid residual ratings",IF(OR(K103&lt;1,K103&gt;5,L103&lt;1,L103&gt;5,INT(K103)&lt;&gt;K103,INT(L103)&lt;&gt;L103),"Invalid residual ratings",IF(OR(AE103="",AF103="",AG103="",AH103=""),"Incomplete evidence",IF(NOT(ISNUMBER(AG103)),"Invalid assessment date",IF(OR(AG103&gt;Methodology!$B$4,AG103&lt;=0),"Invalid assessment date",IF(AG103+Methodology!$B$3&lt;Methodology!$B$4,"Expired",IF(AL103&lt;&gt;"Approved","Approval not confirmed","Valid")))))))))</f>
        <v/>
      </c>
      <c r="AJ103" s="38" t="str">
        <f>IF(OR(F103="",G103=""),"",MAX(1,ROUND(F103*(1-IFERROR(INDEX(Methodology!$B$41:$B$44,MATCH(J103,Methodology!$A$41:$A$44,0)),0)),0))*G103)</f>
        <v/>
      </c>
      <c r="AK103" s="38" t="str">
        <f t="shared" si="27"/>
        <v/>
      </c>
      <c r="AL103" s="36"/>
    </row>
    <row r="104" spans="1:38" x14ac:dyDescent="0.35">
      <c r="A104" s="35"/>
      <c r="B104" s="24"/>
      <c r="C104" s="24"/>
      <c r="D104" s="35"/>
      <c r="E104" s="35"/>
      <c r="F104" s="36"/>
      <c r="G104" s="36"/>
      <c r="H104" s="37" t="str">
        <f t="shared" si="28"/>
        <v/>
      </c>
      <c r="I104" s="38" t="str">
        <f>IF(NOT(ISNUMBER(H104)),"",INDEX(Methodology!$B$26:$B$29,MATCH(H104,Methodology!$A$26:$A$29,1)))</f>
        <v/>
      </c>
      <c r="J104" s="35"/>
      <c r="K104" s="36"/>
      <c r="L104" s="36"/>
      <c r="M104" s="37" t="str">
        <f t="shared" si="22"/>
        <v/>
      </c>
      <c r="N104" s="37" t="str">
        <f t="shared" si="23"/>
        <v/>
      </c>
      <c r="O104" s="37" t="str">
        <f t="shared" si="29"/>
        <v/>
      </c>
      <c r="P104" s="38" t="str">
        <f>IF(O104="","",INDEX(Methodology!$B$26:$B$29,MATCH(O104,Methodology!$A$26:$A$29,1)))</f>
        <v/>
      </c>
      <c r="Q104" s="36"/>
      <c r="R104" s="37" t="str">
        <f t="shared" si="30"/>
        <v/>
      </c>
      <c r="S104" s="37" t="str">
        <f>IF(D104="","",IFERROR(IF(OR(INDEX(Appetite!$I$6:$I$17,MATCH(D104,Appetite!$A$6:$A$17,0))="OK",INDEX(Appetite!$I$6:$I$17,MATCH(D104,Appetite!$A$6:$A$17,0))="Review overdue - approved"),INDEX(Appetite!$C$6:$C$17,MATCH(D104,Appetite!$A$6:$A$17,0)),""),""))</f>
        <v/>
      </c>
      <c r="T104" s="37" t="str">
        <f>IF(D104="","",IFERROR(IF(OR(INDEX(Appetite!$I$6:$I$17,MATCH(D104,Appetite!$A$6:$A$17,0))="OK",INDEX(Appetite!$I$6:$I$17,MATCH(D104,Appetite!$A$6:$A$17,0))="Review overdue - approved"),INDEX(Appetite!$D$6:$D$17,MATCH(D104,Appetite!$A$6:$A$17,0)),""),""))</f>
        <v/>
      </c>
      <c r="U104" s="38" t="str">
        <f>IF(A104="","",IF(H104="Invalid inherent ratings","Invalid inherent ratings",IF(O104="","Assessment missing",IF(COUNTIF(Appetite!$A$6:$A$17,D104)=0,"Configuration missing",IF(OR(S104="",T104=""),"Configuration: "&amp;INDEX(Appetite!$I$6:$I$17,MATCH(D104,Appetite!$A$6:$A$17,0)),IF(O104&gt;T104,"Tolerance breach",IF(O104&gt;S104,"Appetite breach","Within appetite")))))))</f>
        <v/>
      </c>
      <c r="V104" s="38" t="str">
        <f>IF(A104="","",IF(COUNTIFS('Risk Acceptance Register'!$B$6:$B$105,A104,'Risk Acceptance Register'!$I$6:$I$105,"Approved")&gt;0,"Yes","No"))</f>
        <v/>
      </c>
      <c r="W104" s="38" t="str">
        <f>IF(V104&lt;&gt;"Yes","",IFERROR(IF(COUNTIFS('Risk Acceptance Register'!$B$6:$B$105,A104,'Risk Acceptance Register'!$T$6:$T$105,"Eligible")&gt;0,LOOKUP(2,1/(('Risk Acceptance Register'!$B$6:$B$105=A104)*('Risk Acceptance Register'!$T$6:$T$105="Eligible")),'Risk Acceptance Register'!$J$6:$J$105),LOOKUP(2,1/(('Risk Acceptance Register'!$B$6:$B$105=A104)*('Risk Acceptance Register'!$I$6:$I$105="Approved")),'Risk Acceptance Register'!$J$6:$J$105))&amp;"",""))</f>
        <v/>
      </c>
      <c r="X104" s="39" t="str">
        <f>IF(V104&lt;&gt;"Yes","",IFERROR(IF(IF(COUNTIFS('Risk Acceptance Register'!$B$6:$B$105,A104,'Risk Acceptance Register'!$T$6:$T$105,"Eligible")&gt;0,LOOKUP(2,1/(('Risk Acceptance Register'!$B$6:$B$105=A104)*('Risk Acceptance Register'!$T$6:$T$105="Eligible")),'Risk Acceptance Register'!$M$6:$M$105),LOOKUP(2,1/(('Risk Acceptance Register'!$B$6:$B$105=A104)*('Risk Acceptance Register'!$I$6:$I$105="Approved")),'Risk Acceptance Register'!$M$6:$M$105))=0,"",IF(COUNTIFS('Risk Acceptance Register'!$B$6:$B$105,A104,'Risk Acceptance Register'!$T$6:$T$105,"Eligible")&gt;0,LOOKUP(2,1/(('Risk Acceptance Register'!$B$6:$B$105=A104)*('Risk Acceptance Register'!$T$6:$T$105="Eligible")),'Risk Acceptance Register'!$M$6:$M$105),LOOKUP(2,1/(('Risk Acceptance Register'!$B$6:$B$105=A104)*('Risk Acceptance Register'!$I$6:$I$105="Approved")),'Risk Acceptance Register'!$M$6:$M$105))),""))</f>
        <v/>
      </c>
      <c r="Y104" s="38" t="str">
        <f>IF(A104="","",IF(U104="Within appetite","Within appetite",IF(AND(U104&lt;&gt;"Appetite breach",U104&lt;&gt;"Tolerance breach"),U104,IF(COUNTIFS('Risk Acceptance Register'!$B$6:$B$105,A104,'Risk Acceptance Register'!$T$6:$T$105,"Eligible")&gt;0,"Breach - formally accepted",IF(V104="Yes",IF(X104="","Accepted - expiry not set",IF(X104&lt;Methodology!$B$4,"Acceptance expired - breach open","Breach - not accepted")),"Breach - not accepted")))))</f>
        <v/>
      </c>
      <c r="Z104" s="40"/>
      <c r="AA104" s="38" t="str">
        <f>IF(OR(A104="",Z104=""),"",IF(Z104&lt;Methodology!$B$4,"Overdue","On schedule"))</f>
        <v/>
      </c>
      <c r="AB104" s="38" t="str">
        <f>IF(OR(U104="",U104="Within appetite"),"",MAX(AB$5:AB103)+1)</f>
        <v/>
      </c>
      <c r="AC104" s="38" t="str">
        <f>IF(A104="","",COUNTIF('Treatment Tracker'!$B$6:$B$105,A104)-COUNTIFS('Treatment Tracker'!$B$6:$B$105,A104,'Treatment Tracker'!$H$6:$H$105,"Completed")-COUNTIFS('Treatment Tracker'!$B$6:$B$105,A104,'Treatment Tracker'!$H$6:$H$105,"Cancelled"))</f>
        <v/>
      </c>
      <c r="AD104" s="38" t="str">
        <f t="shared" si="31"/>
        <v/>
      </c>
      <c r="AE104" s="35"/>
      <c r="AF104" s="35"/>
      <c r="AG104" s="40"/>
      <c r="AH104" s="35"/>
      <c r="AI104" s="38" t="str">
        <f>IF(A104="","",IF(OR(K104="",L104=""),"No assessment",IF(OR(NOT(ISNUMBER(K104)),NOT(ISNUMBER(L104))),"Invalid residual ratings",IF(OR(K104&lt;1,K104&gt;5,L104&lt;1,L104&gt;5,INT(K104)&lt;&gt;K104,INT(L104)&lt;&gt;L104),"Invalid residual ratings",IF(OR(AE104="",AF104="",AG104="",AH104=""),"Incomplete evidence",IF(NOT(ISNUMBER(AG104)),"Invalid assessment date",IF(OR(AG104&gt;Methodology!$B$4,AG104&lt;=0),"Invalid assessment date",IF(AG104+Methodology!$B$3&lt;Methodology!$B$4,"Expired",IF(AL104&lt;&gt;"Approved","Approval not confirmed","Valid")))))))))</f>
        <v/>
      </c>
      <c r="AJ104" s="38" t="str">
        <f>IF(OR(F104="",G104=""),"",MAX(1,ROUND(F104*(1-IFERROR(INDEX(Methodology!$B$41:$B$44,MATCH(J104,Methodology!$A$41:$A$44,0)),0)),0))*G104)</f>
        <v/>
      </c>
      <c r="AK104" s="38" t="str">
        <f t="shared" si="27"/>
        <v/>
      </c>
      <c r="AL104" s="36"/>
    </row>
    <row r="105" spans="1:38" x14ac:dyDescent="0.35">
      <c r="A105" s="35"/>
      <c r="B105" s="24"/>
      <c r="C105" s="24"/>
      <c r="D105" s="35"/>
      <c r="E105" s="35"/>
      <c r="F105" s="36"/>
      <c r="G105" s="36"/>
      <c r="H105" s="37" t="str">
        <f t="shared" si="28"/>
        <v/>
      </c>
      <c r="I105" s="38" t="str">
        <f>IF(NOT(ISNUMBER(H105)),"",INDEX(Methodology!$B$26:$B$29,MATCH(H105,Methodology!$A$26:$A$29,1)))</f>
        <v/>
      </c>
      <c r="J105" s="35"/>
      <c r="K105" s="36"/>
      <c r="L105" s="36"/>
      <c r="M105" s="37" t="str">
        <f t="shared" si="22"/>
        <v/>
      </c>
      <c r="N105" s="37" t="str">
        <f t="shared" si="23"/>
        <v/>
      </c>
      <c r="O105" s="37" t="str">
        <f t="shared" si="29"/>
        <v/>
      </c>
      <c r="P105" s="38" t="str">
        <f>IF(O105="","",INDEX(Methodology!$B$26:$B$29,MATCH(O105,Methodology!$A$26:$A$29,1)))</f>
        <v/>
      </c>
      <c r="Q105" s="36"/>
      <c r="R105" s="37" t="str">
        <f t="shared" si="30"/>
        <v/>
      </c>
      <c r="S105" s="37" t="str">
        <f>IF(D105="","",IFERROR(IF(OR(INDEX(Appetite!$I$6:$I$17,MATCH(D105,Appetite!$A$6:$A$17,0))="OK",INDEX(Appetite!$I$6:$I$17,MATCH(D105,Appetite!$A$6:$A$17,0))="Review overdue - approved"),INDEX(Appetite!$C$6:$C$17,MATCH(D105,Appetite!$A$6:$A$17,0)),""),""))</f>
        <v/>
      </c>
      <c r="T105" s="37" t="str">
        <f>IF(D105="","",IFERROR(IF(OR(INDEX(Appetite!$I$6:$I$17,MATCH(D105,Appetite!$A$6:$A$17,0))="OK",INDEX(Appetite!$I$6:$I$17,MATCH(D105,Appetite!$A$6:$A$17,0))="Review overdue - approved"),INDEX(Appetite!$D$6:$D$17,MATCH(D105,Appetite!$A$6:$A$17,0)),""),""))</f>
        <v/>
      </c>
      <c r="U105" s="38" t="str">
        <f>IF(A105="","",IF(H105="Invalid inherent ratings","Invalid inherent ratings",IF(O105="","Assessment missing",IF(COUNTIF(Appetite!$A$6:$A$17,D105)=0,"Configuration missing",IF(OR(S105="",T105=""),"Configuration: "&amp;INDEX(Appetite!$I$6:$I$17,MATCH(D105,Appetite!$A$6:$A$17,0)),IF(O105&gt;T105,"Tolerance breach",IF(O105&gt;S105,"Appetite breach","Within appetite")))))))</f>
        <v/>
      </c>
      <c r="V105" s="38" t="str">
        <f>IF(A105="","",IF(COUNTIFS('Risk Acceptance Register'!$B$6:$B$105,A105,'Risk Acceptance Register'!$I$6:$I$105,"Approved")&gt;0,"Yes","No"))</f>
        <v/>
      </c>
      <c r="W105" s="38" t="str">
        <f>IF(V105&lt;&gt;"Yes","",IFERROR(IF(COUNTIFS('Risk Acceptance Register'!$B$6:$B$105,A105,'Risk Acceptance Register'!$T$6:$T$105,"Eligible")&gt;0,LOOKUP(2,1/(('Risk Acceptance Register'!$B$6:$B$105=A105)*('Risk Acceptance Register'!$T$6:$T$105="Eligible")),'Risk Acceptance Register'!$J$6:$J$105),LOOKUP(2,1/(('Risk Acceptance Register'!$B$6:$B$105=A105)*('Risk Acceptance Register'!$I$6:$I$105="Approved")),'Risk Acceptance Register'!$J$6:$J$105))&amp;"",""))</f>
        <v/>
      </c>
      <c r="X105" s="39" t="str">
        <f>IF(V105&lt;&gt;"Yes","",IFERROR(IF(IF(COUNTIFS('Risk Acceptance Register'!$B$6:$B$105,A105,'Risk Acceptance Register'!$T$6:$T$105,"Eligible")&gt;0,LOOKUP(2,1/(('Risk Acceptance Register'!$B$6:$B$105=A105)*('Risk Acceptance Register'!$T$6:$T$105="Eligible")),'Risk Acceptance Register'!$M$6:$M$105),LOOKUP(2,1/(('Risk Acceptance Register'!$B$6:$B$105=A105)*('Risk Acceptance Register'!$I$6:$I$105="Approved")),'Risk Acceptance Register'!$M$6:$M$105))=0,"",IF(COUNTIFS('Risk Acceptance Register'!$B$6:$B$105,A105,'Risk Acceptance Register'!$T$6:$T$105,"Eligible")&gt;0,LOOKUP(2,1/(('Risk Acceptance Register'!$B$6:$B$105=A105)*('Risk Acceptance Register'!$T$6:$T$105="Eligible")),'Risk Acceptance Register'!$M$6:$M$105),LOOKUP(2,1/(('Risk Acceptance Register'!$B$6:$B$105=A105)*('Risk Acceptance Register'!$I$6:$I$105="Approved")),'Risk Acceptance Register'!$M$6:$M$105))),""))</f>
        <v/>
      </c>
      <c r="Y105" s="38" t="str">
        <f>IF(A105="","",IF(U105="Within appetite","Within appetite",IF(AND(U105&lt;&gt;"Appetite breach",U105&lt;&gt;"Tolerance breach"),U105,IF(COUNTIFS('Risk Acceptance Register'!$B$6:$B$105,A105,'Risk Acceptance Register'!$T$6:$T$105,"Eligible")&gt;0,"Breach - formally accepted",IF(V105="Yes",IF(X105="","Accepted - expiry not set",IF(X105&lt;Methodology!$B$4,"Acceptance expired - breach open","Breach - not accepted")),"Breach - not accepted")))))</f>
        <v/>
      </c>
      <c r="Z105" s="40"/>
      <c r="AA105" s="38" t="str">
        <f>IF(OR(A105="",Z105=""),"",IF(Z105&lt;Methodology!$B$4,"Overdue","On schedule"))</f>
        <v/>
      </c>
      <c r="AB105" s="38" t="str">
        <f>IF(OR(U105="",U105="Within appetite"),"",MAX(AB$5:AB104)+1)</f>
        <v/>
      </c>
      <c r="AC105" s="38" t="str">
        <f>IF(A105="","",COUNTIF('Treatment Tracker'!$B$6:$B$105,A105)-COUNTIFS('Treatment Tracker'!$B$6:$B$105,A105,'Treatment Tracker'!$H$6:$H$105,"Completed")-COUNTIFS('Treatment Tracker'!$B$6:$B$105,A105,'Treatment Tracker'!$H$6:$H$105,"Cancelled"))</f>
        <v/>
      </c>
      <c r="AD105" s="38" t="str">
        <f t="shared" si="31"/>
        <v/>
      </c>
      <c r="AE105" s="35"/>
      <c r="AF105" s="35"/>
      <c r="AG105" s="40"/>
      <c r="AH105" s="35"/>
      <c r="AI105" s="38" t="str">
        <f>IF(A105="","",IF(OR(K105="",L105=""),"No assessment",IF(OR(NOT(ISNUMBER(K105)),NOT(ISNUMBER(L105))),"Invalid residual ratings",IF(OR(K105&lt;1,K105&gt;5,L105&lt;1,L105&gt;5,INT(K105)&lt;&gt;K105,INT(L105)&lt;&gt;L105),"Invalid residual ratings",IF(OR(AE105="",AF105="",AG105="",AH105=""),"Incomplete evidence",IF(NOT(ISNUMBER(AG105)),"Invalid assessment date",IF(OR(AG105&gt;Methodology!$B$4,AG105&lt;=0),"Invalid assessment date",IF(AG105+Methodology!$B$3&lt;Methodology!$B$4,"Expired",IF(AL105&lt;&gt;"Approved","Approval not confirmed","Valid")))))))))</f>
        <v/>
      </c>
      <c r="AJ105" s="38" t="str">
        <f>IF(OR(F105="",G105=""),"",MAX(1,ROUND(F105*(1-IFERROR(INDEX(Methodology!$B$41:$B$44,MATCH(J105,Methodology!$A$41:$A$44,0)),0)),0))*G105)</f>
        <v/>
      </c>
      <c r="AK105" s="38" t="str">
        <f t="shared" si="27"/>
        <v/>
      </c>
      <c r="AL105" s="36"/>
    </row>
  </sheetData>
  <autoFilter ref="A5:AL105" xr:uid="{00000000-0001-0000-0400-000000000000}"/>
  <sortState xmlns:xlrd2="http://schemas.microsoft.com/office/spreadsheetml/2017/richdata2" ref="A6:AL13">
    <sortCondition ref="A6"/>
  </sortState>
  <mergeCells count="10">
    <mergeCell ref="S4:U4"/>
    <mergeCell ref="V4:Y4"/>
    <mergeCell ref="Z4:AA4"/>
    <mergeCell ref="AB4:AD4"/>
    <mergeCell ref="AE4:AK4"/>
    <mergeCell ref="A2:L2"/>
    <mergeCell ref="A4:E4"/>
    <mergeCell ref="F4:I4"/>
    <mergeCell ref="J4:P4"/>
    <mergeCell ref="Q4:R4"/>
  </mergeCells>
  <conditionalFormatting sqref="I6:I105">
    <cfRule type="expression" dxfId="80" priority="2">
      <formula>I6="Critical"</formula>
    </cfRule>
    <cfRule type="expression" dxfId="79" priority="3">
      <formula>I6="High"</formula>
    </cfRule>
    <cfRule type="expression" dxfId="78" priority="4">
      <formula>I6="Medium"</formula>
    </cfRule>
    <cfRule type="expression" dxfId="77" priority="5">
      <formula>I6="Low"</formula>
    </cfRule>
  </conditionalFormatting>
  <conditionalFormatting sqref="P6:P105">
    <cfRule type="expression" dxfId="76" priority="6">
      <formula>P6="Critical"</formula>
    </cfRule>
    <cfRule type="expression" dxfId="75" priority="7">
      <formula>P6="High"</formula>
    </cfRule>
    <cfRule type="expression" dxfId="74" priority="8">
      <formula>P6="Medium"</formula>
    </cfRule>
    <cfRule type="expression" dxfId="73" priority="9">
      <formula>P6="Low"</formula>
    </cfRule>
  </conditionalFormatting>
  <conditionalFormatting sqref="U6:U105">
    <cfRule type="expression" dxfId="72" priority="10">
      <formula>U6="Tolerance breach"</formula>
    </cfRule>
    <cfRule type="expression" dxfId="71" priority="11">
      <formula>U6="Appetite breach"</formula>
    </cfRule>
    <cfRule type="expression" dxfId="70" priority="12">
      <formula>U6="Within appetite"</formula>
    </cfRule>
  </conditionalFormatting>
  <conditionalFormatting sqref="Y6:Y105">
    <cfRule type="expression" dxfId="69" priority="13">
      <formula>OR(Y6="Breach - not accepted",Y6="Acceptance expired - breach open")</formula>
    </cfRule>
    <cfRule type="expression" dxfId="68" priority="14">
      <formula>OR(Y6="Breach - formally accepted",Y6="Accepted - expiry not set")</formula>
    </cfRule>
  </conditionalFormatting>
  <conditionalFormatting sqref="AA6:AA105">
    <cfRule type="expression" dxfId="67" priority="15">
      <formula>AA6="Overdue"</formula>
    </cfRule>
  </conditionalFormatting>
  <conditionalFormatting sqref="AD6:AD105">
    <cfRule type="expression" dxfId="66" priority="16">
      <formula>AD6="Gap"</formula>
    </cfRule>
  </conditionalFormatting>
  <conditionalFormatting sqref="AI6:AI105">
    <cfRule type="expression" dxfId="65" priority="17">
      <formula>AI6="Valid"</formula>
    </cfRule>
    <cfRule type="expression" dxfId="64" priority="18">
      <formula>OR(AI6="Expired",AI6="Incomplete evidence")</formula>
    </cfRule>
    <cfRule type="expression" dxfId="63" priority="19">
      <formula>AI6="No assessment"</formula>
    </cfRule>
  </conditionalFormatting>
  <conditionalFormatting sqref="AK6:AK105">
    <cfRule type="expression" dxfId="62" priority="20">
      <formula>LEFT(AK6,8)="Inherent"</formula>
    </cfRule>
  </conditionalFormatting>
  <dataValidations count="3">
    <dataValidation type="whole" allowBlank="1" showErrorMessage="1" error="Enter a whole number 1-5" sqref="F6:G105 K6:L105" xr:uid="{00000000-0002-0000-0400-000002000000}">
      <formula1>1</formula1>
      <formula2>5</formula2>
    </dataValidation>
    <dataValidation type="whole" allowBlank="1" showErrorMessage="1" sqref="Q6:Q105" xr:uid="{00000000-0002-0000-0400-000003000000}">
      <formula1>1</formula1>
      <formula2>25</formula2>
    </dataValidation>
    <dataValidation type="list" sqref="AL6:AL105" xr:uid="{00000000-0002-0000-0400-000004000000}">
      <formula1>"Approved,Pending,Rejected"</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Appetite!$A$6:$A$17</xm:f>
          </x14:formula1>
          <x14:formula2>
            <xm:f>0</xm:f>
          </x14:formula2>
          <xm:sqref>D6:D105</xm:sqref>
        </x14:dataValidation>
        <x14:dataValidation type="list" allowBlank="1" showErrorMessage="1" xr:uid="{00000000-0002-0000-0400-000001000000}">
          <x14:formula1>
            <xm:f>Methodology!$A$41:$A$44</xm:f>
          </x14:formula1>
          <x14:formula2>
            <xm:f>0</xm:f>
          </x14:formula2>
          <xm:sqref>J6:J105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F5597"/>
  </sheetPr>
  <dimension ref="A1:Q106"/>
  <sheetViews>
    <sheetView showGridLines="0" workbookViewId="0">
      <pane xSplit="4" ySplit="6" topLeftCell="E7" activePane="bottomRight" state="frozen"/>
      <selection pane="topRight"/>
      <selection pane="bottomLeft"/>
      <selection pane="bottomRight" activeCell="E7" sqref="E7"/>
    </sheetView>
  </sheetViews>
  <sheetFormatPr defaultColWidth="8.6328125" defaultRowHeight="14.5" x14ac:dyDescent="0.35"/>
  <cols>
    <col min="1" max="1" width="5" customWidth="1"/>
    <col min="2" max="3" width="9" customWidth="1"/>
    <col min="4" max="4" width="30" customWidth="1"/>
    <col min="5" max="5" width="24" customWidth="1"/>
    <col min="6" max="6" width="18" customWidth="1"/>
    <col min="7" max="7" width="10" customWidth="1"/>
    <col min="8" max="8" width="11" customWidth="1"/>
    <col min="9" max="9" width="10" customWidth="1"/>
    <col min="10" max="10" width="11" customWidth="1"/>
    <col min="11" max="11" width="17" customWidth="1"/>
    <col min="12" max="12" width="30" customWidth="1"/>
    <col min="13" max="13" width="26" customWidth="1"/>
    <col min="14" max="14" width="13" customWidth="1"/>
    <col min="15" max="15" width="10" customWidth="1"/>
    <col min="16" max="16" width="9" customWidth="1"/>
    <col min="17" max="17" width="48" customWidth="1"/>
  </cols>
  <sheetData>
    <row r="1" spans="1:17" ht="20" x14ac:dyDescent="0.4">
      <c r="A1" s="2" t="s">
        <v>303</v>
      </c>
    </row>
    <row r="2" spans="1:17" x14ac:dyDescent="0.35">
      <c r="A2" s="1" t="s">
        <v>304</v>
      </c>
    </row>
    <row r="3" spans="1:17" ht="25.5" customHeight="1" x14ac:dyDescent="0.35">
      <c r="C3" s="41" t="s">
        <v>305</v>
      </c>
      <c r="D3" s="41" t="s">
        <v>60</v>
      </c>
      <c r="E3" s="41" t="s">
        <v>306</v>
      </c>
      <c r="F3" s="41" t="s">
        <v>307</v>
      </c>
      <c r="G3" s="41" t="s">
        <v>308</v>
      </c>
      <c r="H3" s="41" t="s">
        <v>309</v>
      </c>
      <c r="I3" s="41" t="s">
        <v>310</v>
      </c>
    </row>
    <row r="4" spans="1:17" ht="15.5" x14ac:dyDescent="0.35">
      <c r="C4" s="42">
        <f ca="1">COUNT('Risk Register'!$AB$6:$AB$105)</f>
        <v>5</v>
      </c>
      <c r="D4" s="42">
        <f ca="1">COUNTIF('Risk Register'!$U$6:$U$105,"Tolerance breach")</f>
        <v>2</v>
      </c>
      <c r="E4" s="42">
        <f ca="1">COUNTIF('Risk Register'!$Y$6:$Y$105,"Breach - not accepted")</f>
        <v>2</v>
      </c>
      <c r="F4" s="42">
        <f ca="1">COUNTIF('Risk Register'!$Y$6:$Y$105,"Breach - formally accepted")</f>
        <v>1</v>
      </c>
      <c r="G4" s="42">
        <f ca="1">COUNTIF('Risk Register'!$Y$6:$Y$105,"Acceptance expired - breach open")</f>
        <v>1</v>
      </c>
      <c r="H4" s="42">
        <f ca="1">COUNTIF('Risk Register'!$Y$6:$Y$105,"Accepted - expiry not set")</f>
        <v>1</v>
      </c>
      <c r="I4" s="42">
        <f ca="1">COUNTIF('Risk Register'!$AD$6:$AD$105,"Gap")</f>
        <v>1</v>
      </c>
    </row>
    <row r="6" spans="1:17" ht="43.5" customHeight="1" x14ac:dyDescent="0.35">
      <c r="A6" s="16" t="s">
        <v>311</v>
      </c>
      <c r="B6" s="16" t="s">
        <v>312</v>
      </c>
      <c r="C6" s="16" t="s">
        <v>224</v>
      </c>
      <c r="D6" s="16" t="s">
        <v>225</v>
      </c>
      <c r="E6" s="16" t="s">
        <v>55</v>
      </c>
      <c r="F6" s="16" t="s">
        <v>227</v>
      </c>
      <c r="G6" s="16" t="s">
        <v>313</v>
      </c>
      <c r="H6" s="16" t="s">
        <v>58</v>
      </c>
      <c r="I6" s="16" t="s">
        <v>241</v>
      </c>
      <c r="J6" s="16" t="s">
        <v>314</v>
      </c>
      <c r="K6" s="16" t="s">
        <v>148</v>
      </c>
      <c r="L6" s="16" t="s">
        <v>245</v>
      </c>
      <c r="M6" s="16" t="s">
        <v>149</v>
      </c>
      <c r="N6" s="16" t="s">
        <v>315</v>
      </c>
      <c r="O6" s="16" t="s">
        <v>316</v>
      </c>
      <c r="P6" s="16" t="s">
        <v>249</v>
      </c>
      <c r="Q6" s="16" t="s">
        <v>317</v>
      </c>
    </row>
    <row r="7" spans="1:17" ht="25" x14ac:dyDescent="0.35">
      <c r="A7" s="43">
        <v>1</v>
      </c>
      <c r="B7" s="43">
        <f ca="1">IFERROR(MATCH($A7,'Risk Register'!$AB$6:$AB$105,0),"")</f>
        <v>1</v>
      </c>
      <c r="C7" s="38" t="str">
        <f ca="1">IF($B7="","",INDEX('Risk Register'!$A$6:$A$105,$B7))</f>
        <v>R-001</v>
      </c>
      <c r="D7" s="44" t="str">
        <f ca="1">IF($B7="","",INDEX('Risk Register'!$B$6:$B$105,$B7))</f>
        <v>Ransomware on production</v>
      </c>
      <c r="E7" s="38" t="str">
        <f ca="1">IF($B7="","",INDEX('Risk Register'!$D$6:$D$105,$B7))</f>
        <v>Cyber &amp; Information Security</v>
      </c>
      <c r="F7" s="38" t="str">
        <f ca="1">IF($B7="","",INDEX('Risk Register'!$E$6:$E$105,$B7))</f>
        <v>CISO</v>
      </c>
      <c r="G7" s="37">
        <f ca="1">IF($B7="","",INDEX('Risk Register'!$O$6:$O$105,$B7))</f>
        <v>15</v>
      </c>
      <c r="H7" s="37">
        <f ca="1">IF($B7="","",INDEX('Risk Register'!$S$6:$S$105,$B7))</f>
        <v>6</v>
      </c>
      <c r="I7" s="37">
        <f ca="1">IF($B7="","",INDEX('Risk Register'!$T$6:$T$105,$B7))</f>
        <v>10</v>
      </c>
      <c r="J7" s="37">
        <f t="shared" ref="J7:J38" ca="1" si="0">IF($B7="","",G7-H7)</f>
        <v>9</v>
      </c>
      <c r="K7" s="38" t="str">
        <f ca="1">IF($B7="","",INDEX('Risk Register'!$U$6:$U$105,$B7))</f>
        <v>Tolerance breach</v>
      </c>
      <c r="L7" s="38" t="str">
        <f ca="1">IF($B7="","",INDEX('Risk Register'!$Y$6:$Y$105,$B7))</f>
        <v>Breach - not accepted</v>
      </c>
      <c r="M7" s="38" t="str">
        <f ca="1">IF(K7="","",INDEX(Methodology!$B$48:$B$50,MATCH(K7,Methodology!$A$48:$A$50,0)))</f>
        <v>Executive Committee / Board</v>
      </c>
      <c r="N7" s="45" t="str">
        <f ca="1">IF($B7="","",IF(INDEX('Risk Register'!$X$6:$X$105,$B7)="","",INDEX('Risk Register'!$X$6:$X$105,$B7)))</f>
        <v/>
      </c>
      <c r="O7" s="37" t="str">
        <f ca="1">IF(OR($B7="",N7=""),"",N7-Methodology!$B$4)</f>
        <v/>
      </c>
      <c r="P7" s="37">
        <f ca="1">IF($B7="","",INDEX('Risk Register'!$AC$6:$AC$105,$B7))</f>
        <v>2</v>
      </c>
      <c r="Q7" s="44" t="str">
        <f t="shared" ref="Q7:Q38" ca="1" si="1">IF($B7="","",IF(L7="Breach - not accepted",IF(P7=0,"Escalate to "&amp;M7&amp;"; no treatment action or acceptance recorded","Escalate to "&amp;M7&amp;"; track treatment actions"),IF(L7="Acceptance expired - breach open","Acceptance lapsed: re-approve or treat",IF(L7="Accepted - expiry not set","Set an acceptance expiry date","Accepted: monitor to expiry and keep treating where practical"))))</f>
        <v>Escalate to Executive Committee / Board; track treatment actions</v>
      </c>
    </row>
    <row r="8" spans="1:17" x14ac:dyDescent="0.35">
      <c r="A8" s="43">
        <v>2</v>
      </c>
      <c r="B8" s="43">
        <f ca="1">IFERROR(MATCH($A8,'Risk Register'!$AB$6:$AB$105,0),"")</f>
        <v>2</v>
      </c>
      <c r="C8" s="38" t="str">
        <f ca="1">IF($B8="","",INDEX('Risk Register'!$A$6:$A$105,$B8))</f>
        <v>R-002</v>
      </c>
      <c r="D8" s="44" t="str">
        <f ca="1">IF($B8="","",INDEX('Risk Register'!$B$6:$B$105,$B8))</f>
        <v>SaaS provider data breach</v>
      </c>
      <c r="E8" s="38" t="str">
        <f ca="1">IF($B8="","",INDEX('Risk Register'!$D$6:$D$105,$B8))</f>
        <v>Third-Party</v>
      </c>
      <c r="F8" s="38" t="str">
        <f ca="1">IF($B8="","",INDEX('Risk Register'!$E$6:$E$105,$B8))</f>
        <v>Head of Procurement</v>
      </c>
      <c r="G8" s="37">
        <f ca="1">IF($B8="","",INDEX('Risk Register'!$O$6:$O$105,$B8))</f>
        <v>16</v>
      </c>
      <c r="H8" s="37">
        <f ca="1">IF($B8="","",INDEX('Risk Register'!$S$6:$S$105,$B8))</f>
        <v>9</v>
      </c>
      <c r="I8" s="37">
        <f ca="1">IF($B8="","",INDEX('Risk Register'!$T$6:$T$105,$B8))</f>
        <v>15</v>
      </c>
      <c r="J8" s="37">
        <f t="shared" ca="1" si="0"/>
        <v>7</v>
      </c>
      <c r="K8" s="38" t="str">
        <f ca="1">IF($B8="","",INDEX('Risk Register'!$U$6:$U$105,$B8))</f>
        <v>Tolerance breach</v>
      </c>
      <c r="L8" s="38" t="str">
        <f ca="1">IF($B8="","",INDEX('Risk Register'!$Y$6:$Y$105,$B8))</f>
        <v>Acceptance expired - breach open</v>
      </c>
      <c r="M8" s="38" t="str">
        <f ca="1">IF(K8="","",INDEX(Methodology!$B$48:$B$50,MATCH(K8,Methodology!$A$48:$A$50,0)))</f>
        <v>Executive Committee / Board</v>
      </c>
      <c r="N8" s="45">
        <f ca="1">IF($B8="","",IF(INDEX('Risk Register'!$X$6:$X$105,$B8)="","",INDEX('Risk Register'!$X$6:$X$105,$B8)))</f>
        <v>46295</v>
      </c>
      <c r="O8" s="37">
        <f ca="1">IF(OR($B8="",N8=""),"",N8-Methodology!$B$4)</f>
        <v>-23</v>
      </c>
      <c r="P8" s="37">
        <f ca="1">IF($B8="","",INDEX('Risk Register'!$AC$6:$AC$105,$B8))</f>
        <v>0</v>
      </c>
      <c r="Q8" s="44" t="str">
        <f t="shared" ca="1" si="1"/>
        <v>Acceptance lapsed: re-approve or treat</v>
      </c>
    </row>
    <row r="9" spans="1:17" ht="25" x14ac:dyDescent="0.35">
      <c r="A9" s="43">
        <v>3</v>
      </c>
      <c r="B9" s="43">
        <f ca="1">IFERROR(MATCH($A9,'Risk Register'!$AB$6:$AB$105,0),"")</f>
        <v>3</v>
      </c>
      <c r="C9" s="38" t="str">
        <f ca="1">IF($B9="","",INDEX('Risk Register'!$A$6:$A$105,$B9))</f>
        <v>R-003</v>
      </c>
      <c r="D9" s="44" t="str">
        <f ca="1">IF($B9="","",INDEX('Risk Register'!$B$6:$B$105,$B9))</f>
        <v>Sensitive data pasted into AI tools</v>
      </c>
      <c r="E9" s="38" t="str">
        <f ca="1">IF($B9="","",INDEX('Risk Register'!$D$6:$D$105,$B9))</f>
        <v>Data Privacy</v>
      </c>
      <c r="F9" s="38" t="str">
        <f ca="1">IF($B9="","",INDEX('Risk Register'!$E$6:$E$105,$B9))</f>
        <v>DPO</v>
      </c>
      <c r="G9" s="37">
        <f ca="1">IF($B9="","",INDEX('Risk Register'!$O$6:$O$105,$B9))</f>
        <v>9</v>
      </c>
      <c r="H9" s="37">
        <f ca="1">IF($B9="","",INDEX('Risk Register'!$S$6:$S$105,$B9))</f>
        <v>6</v>
      </c>
      <c r="I9" s="37">
        <f ca="1">IF($B9="","",INDEX('Risk Register'!$T$6:$T$105,$B9))</f>
        <v>10</v>
      </c>
      <c r="J9" s="37">
        <f t="shared" ca="1" si="0"/>
        <v>3</v>
      </c>
      <c r="K9" s="38" t="str">
        <f ca="1">IF($B9="","",INDEX('Risk Register'!$U$6:$U$105,$B9))</f>
        <v>Appetite breach</v>
      </c>
      <c r="L9" s="38" t="str">
        <f ca="1">IF($B9="","",INDEX('Risk Register'!$Y$6:$Y$105,$B9))</f>
        <v>Breach - formally accepted</v>
      </c>
      <c r="M9" s="38" t="str">
        <f ca="1">IF(K9="","",INDEX(Methodology!$B$48:$B$50,MATCH(K9,Methodology!$A$48:$A$50,0)))</f>
        <v>Head of Risk / CISO</v>
      </c>
      <c r="N9" s="45">
        <f ca="1">IF($B9="","",IF(INDEX('Risk Register'!$X$6:$X$105,$B9)="","",INDEX('Risk Register'!$X$6:$X$105,$B9)))</f>
        <v>46477</v>
      </c>
      <c r="O9" s="37">
        <f ca="1">IF(OR($B9="",N9=""),"",N9-Methodology!$B$4)</f>
        <v>159</v>
      </c>
      <c r="P9" s="37">
        <f ca="1">IF($B9="","",INDEX('Risk Register'!$AC$6:$AC$105,$B9))</f>
        <v>0</v>
      </c>
      <c r="Q9" s="44" t="str">
        <f t="shared" ca="1" si="1"/>
        <v>Accepted: monitor to expiry and keep treating where practical</v>
      </c>
    </row>
    <row r="10" spans="1:17" x14ac:dyDescent="0.35">
      <c r="A10" s="43">
        <v>4</v>
      </c>
      <c r="B10" s="43">
        <f ca="1">IFERROR(MATCH($A10,'Risk Register'!$AB$6:$AB$105,0),"")</f>
        <v>4</v>
      </c>
      <c r="C10" s="38" t="str">
        <f ca="1">IF($B10="","",INDEX('Risk Register'!$A$6:$A$105,$B10))</f>
        <v>R-004</v>
      </c>
      <c r="D10" s="44" t="str">
        <f ca="1">IF($B10="","",INDEX('Risk Register'!$B$6:$B$105,$B10))</f>
        <v>Missed regulatory deadlines</v>
      </c>
      <c r="E10" s="38" t="str">
        <f ca="1">IF($B10="","",INDEX('Risk Register'!$D$6:$D$105,$B10))</f>
        <v>Compliance &amp; Regulatory</v>
      </c>
      <c r="F10" s="38" t="str">
        <f ca="1">IF($B10="","",INDEX('Risk Register'!$E$6:$E$105,$B10))</f>
        <v>Head of Compliance</v>
      </c>
      <c r="G10" s="37">
        <f ca="1">IF($B10="","",INDEX('Risk Register'!$O$6:$O$105,$B10))</f>
        <v>8</v>
      </c>
      <c r="H10" s="37">
        <f ca="1">IF($B10="","",INDEX('Risk Register'!$S$6:$S$105,$B10))</f>
        <v>4</v>
      </c>
      <c r="I10" s="37">
        <f ca="1">IF($B10="","",INDEX('Risk Register'!$T$6:$T$105,$B10))</f>
        <v>8</v>
      </c>
      <c r="J10" s="37">
        <f t="shared" ca="1" si="0"/>
        <v>4</v>
      </c>
      <c r="K10" s="38" t="str">
        <f ca="1">IF($B10="","",INDEX('Risk Register'!$U$6:$U$105,$B10))</f>
        <v>Appetite breach</v>
      </c>
      <c r="L10" s="38" t="str">
        <f ca="1">IF($B10="","",INDEX('Risk Register'!$Y$6:$Y$105,$B10))</f>
        <v>Breach - not accepted</v>
      </c>
      <c r="M10" s="38" t="str">
        <f ca="1">IF(K10="","",INDEX(Methodology!$B$48:$B$50,MATCH(K10,Methodology!$A$48:$A$50,0)))</f>
        <v>Head of Risk / CISO</v>
      </c>
      <c r="N10" s="45" t="str">
        <f ca="1">IF($B10="","",IF(INDEX('Risk Register'!$X$6:$X$105,$B10)="","",INDEX('Risk Register'!$X$6:$X$105,$B10)))</f>
        <v/>
      </c>
      <c r="O10" s="37" t="str">
        <f ca="1">IF(OR($B10="",N10=""),"",N10-Methodology!$B$4)</f>
        <v/>
      </c>
      <c r="P10" s="37">
        <f ca="1">IF($B10="","",INDEX('Risk Register'!$AC$6:$AC$105,$B10))</f>
        <v>1</v>
      </c>
      <c r="Q10" s="44" t="str">
        <f t="shared" ca="1" si="1"/>
        <v>Escalate to Head of Risk / CISO; track treatment actions</v>
      </c>
    </row>
    <row r="11" spans="1:17" x14ac:dyDescent="0.35">
      <c r="A11" s="43">
        <v>5</v>
      </c>
      <c r="B11" s="43">
        <f ca="1">IFERROR(MATCH($A11,'Risk Register'!$AB$6:$AB$105,0),"")</f>
        <v>6</v>
      </c>
      <c r="C11" s="38" t="str">
        <f ca="1">IF($B11="","",INDEX('Risk Register'!$A$6:$A$105,$B11))</f>
        <v>R-006</v>
      </c>
      <c r="D11" s="44" t="str">
        <f ca="1">IF($B11="","",INDEX('Risk Register'!$B$6:$B$105,$B11))</f>
        <v>Legacy ERP out of support</v>
      </c>
      <c r="E11" s="38" t="str">
        <f ca="1">IF($B11="","",INDEX('Risk Register'!$D$6:$D$105,$B11))</f>
        <v>Technology</v>
      </c>
      <c r="F11" s="38" t="str">
        <f ca="1">IF($B11="","",INDEX('Risk Register'!$E$6:$E$105,$B11))</f>
        <v>CIO</v>
      </c>
      <c r="G11" s="37">
        <f ca="1">IF($B11="","",INDEX('Risk Register'!$O$6:$O$105,$B11))</f>
        <v>15</v>
      </c>
      <c r="H11" s="37">
        <f ca="1">IF($B11="","",INDEX('Risk Register'!$S$6:$S$105,$B11))</f>
        <v>9</v>
      </c>
      <c r="I11" s="37">
        <f ca="1">IF($B11="","",INDEX('Risk Register'!$T$6:$T$105,$B11))</f>
        <v>15</v>
      </c>
      <c r="J11" s="37">
        <f t="shared" ca="1" si="0"/>
        <v>6</v>
      </c>
      <c r="K11" s="38" t="str">
        <f ca="1">IF($B11="","",INDEX('Risk Register'!$U$6:$U$105,$B11))</f>
        <v>Appetite breach</v>
      </c>
      <c r="L11" s="38" t="str">
        <f ca="1">IF($B11="","",INDEX('Risk Register'!$Y$6:$Y$105,$B11))</f>
        <v>Accepted - expiry not set</v>
      </c>
      <c r="M11" s="38" t="str">
        <f ca="1">IF(K11="","",INDEX(Methodology!$B$48:$B$50,MATCH(K11,Methodology!$A$48:$A$50,0)))</f>
        <v>Head of Risk / CISO</v>
      </c>
      <c r="N11" s="45" t="str">
        <f ca="1">IF($B11="","",IF(INDEX('Risk Register'!$X$6:$X$105,$B11)="","",INDEX('Risk Register'!$X$6:$X$105,$B11)))</f>
        <v/>
      </c>
      <c r="O11" s="37" t="str">
        <f ca="1">IF(OR($B11="",N11=""),"",N11-Methodology!$B$4)</f>
        <v/>
      </c>
      <c r="P11" s="37">
        <f ca="1">IF($B11="","",INDEX('Risk Register'!$AC$6:$AC$105,$B11))</f>
        <v>1</v>
      </c>
      <c r="Q11" s="44" t="str">
        <f t="shared" ca="1" si="1"/>
        <v>Set an acceptance expiry date</v>
      </c>
    </row>
    <row r="12" spans="1:17" x14ac:dyDescent="0.35">
      <c r="A12" s="43">
        <v>6</v>
      </c>
      <c r="B12" s="43" t="str">
        <f ca="1">IFERROR(MATCH($A12,'Risk Register'!$AB$6:$AB$105,0),"")</f>
        <v/>
      </c>
      <c r="C12" s="38" t="str">
        <f ca="1">IF($B12="","",INDEX('Risk Register'!$A$6:$A$105,$B12))</f>
        <v/>
      </c>
      <c r="D12" s="44" t="str">
        <f ca="1">IF($B12="","",INDEX('Risk Register'!$B$6:$B$105,$B12))</f>
        <v/>
      </c>
      <c r="E12" s="38" t="str">
        <f ca="1">IF($B12="","",INDEX('Risk Register'!$D$6:$D$105,$B12))</f>
        <v/>
      </c>
      <c r="F12" s="38" t="str">
        <f ca="1">IF($B12="","",INDEX('Risk Register'!$E$6:$E$105,$B12))</f>
        <v/>
      </c>
      <c r="G12" s="37" t="str">
        <f ca="1">IF($B12="","",INDEX('Risk Register'!$O$6:$O$105,$B12))</f>
        <v/>
      </c>
      <c r="H12" s="37" t="str">
        <f ca="1">IF($B12="","",INDEX('Risk Register'!$S$6:$S$105,$B12))</f>
        <v/>
      </c>
      <c r="I12" s="37" t="str">
        <f ca="1">IF($B12="","",INDEX('Risk Register'!$T$6:$T$105,$B12))</f>
        <v/>
      </c>
      <c r="J12" s="37" t="str">
        <f t="shared" ca="1" si="0"/>
        <v/>
      </c>
      <c r="K12" s="38" t="str">
        <f ca="1">IF($B12="","",INDEX('Risk Register'!$U$6:$U$105,$B12))</f>
        <v/>
      </c>
      <c r="L12" s="38" t="str">
        <f ca="1">IF($B12="","",INDEX('Risk Register'!$Y$6:$Y$105,$B12))</f>
        <v/>
      </c>
      <c r="M12" s="38" t="str">
        <f ca="1">IF(K12="","",INDEX(Methodology!$B$48:$B$50,MATCH(K12,Methodology!$A$48:$A$50,0)))</f>
        <v/>
      </c>
      <c r="N12" s="45" t="str">
        <f ca="1">IF($B12="","",IF(INDEX('Risk Register'!$X$6:$X$105,$B12)="","",INDEX('Risk Register'!$X$6:$X$105,$B12)))</f>
        <v/>
      </c>
      <c r="O12" s="37" t="str">
        <f ca="1">IF(OR($B12="",N12=""),"",N12-Methodology!$B$4)</f>
        <v/>
      </c>
      <c r="P12" s="37" t="str">
        <f ca="1">IF($B12="","",INDEX('Risk Register'!$AC$6:$AC$105,$B12))</f>
        <v/>
      </c>
      <c r="Q12" s="44" t="str">
        <f t="shared" ca="1" si="1"/>
        <v/>
      </c>
    </row>
    <row r="13" spans="1:17" x14ac:dyDescent="0.35">
      <c r="A13" s="43">
        <v>7</v>
      </c>
      <c r="B13" s="43" t="str">
        <f ca="1">IFERROR(MATCH($A13,'Risk Register'!$AB$6:$AB$105,0),"")</f>
        <v/>
      </c>
      <c r="C13" s="38" t="str">
        <f ca="1">IF($B13="","",INDEX('Risk Register'!$A$6:$A$105,$B13))</f>
        <v/>
      </c>
      <c r="D13" s="44" t="str">
        <f ca="1">IF($B13="","",INDEX('Risk Register'!$B$6:$B$105,$B13))</f>
        <v/>
      </c>
      <c r="E13" s="38" t="str">
        <f ca="1">IF($B13="","",INDEX('Risk Register'!$D$6:$D$105,$B13))</f>
        <v/>
      </c>
      <c r="F13" s="38" t="str">
        <f ca="1">IF($B13="","",INDEX('Risk Register'!$E$6:$E$105,$B13))</f>
        <v/>
      </c>
      <c r="G13" s="37" t="str">
        <f ca="1">IF($B13="","",INDEX('Risk Register'!$O$6:$O$105,$B13))</f>
        <v/>
      </c>
      <c r="H13" s="37" t="str">
        <f ca="1">IF($B13="","",INDEX('Risk Register'!$S$6:$S$105,$B13))</f>
        <v/>
      </c>
      <c r="I13" s="37" t="str">
        <f ca="1">IF($B13="","",INDEX('Risk Register'!$T$6:$T$105,$B13))</f>
        <v/>
      </c>
      <c r="J13" s="37" t="str">
        <f t="shared" ca="1" si="0"/>
        <v/>
      </c>
      <c r="K13" s="38" t="str">
        <f ca="1">IF($B13="","",INDEX('Risk Register'!$U$6:$U$105,$B13))</f>
        <v/>
      </c>
      <c r="L13" s="38" t="str">
        <f ca="1">IF($B13="","",INDEX('Risk Register'!$Y$6:$Y$105,$B13))</f>
        <v/>
      </c>
      <c r="M13" s="38" t="str">
        <f ca="1">IF(K13="","",INDEX(Methodology!$B$48:$B$50,MATCH(K13,Methodology!$A$48:$A$50,0)))</f>
        <v/>
      </c>
      <c r="N13" s="45" t="str">
        <f ca="1">IF($B13="","",IF(INDEX('Risk Register'!$X$6:$X$105,$B13)="","",INDEX('Risk Register'!$X$6:$X$105,$B13)))</f>
        <v/>
      </c>
      <c r="O13" s="37" t="str">
        <f ca="1">IF(OR($B13="",N13=""),"",N13-Methodology!$B$4)</f>
        <v/>
      </c>
      <c r="P13" s="37" t="str">
        <f ca="1">IF($B13="","",INDEX('Risk Register'!$AC$6:$AC$105,$B13))</f>
        <v/>
      </c>
      <c r="Q13" s="44" t="str">
        <f t="shared" ca="1" si="1"/>
        <v/>
      </c>
    </row>
    <row r="14" spans="1:17" x14ac:dyDescent="0.35">
      <c r="A14" s="43">
        <v>8</v>
      </c>
      <c r="B14" s="43" t="str">
        <f ca="1">IFERROR(MATCH($A14,'Risk Register'!$AB$6:$AB$105,0),"")</f>
        <v/>
      </c>
      <c r="C14" s="38" t="str">
        <f ca="1">IF($B14="","",INDEX('Risk Register'!$A$6:$A$105,$B14))</f>
        <v/>
      </c>
      <c r="D14" s="44" t="str">
        <f ca="1">IF($B14="","",INDEX('Risk Register'!$B$6:$B$105,$B14))</f>
        <v/>
      </c>
      <c r="E14" s="38" t="str">
        <f ca="1">IF($B14="","",INDEX('Risk Register'!$D$6:$D$105,$B14))</f>
        <v/>
      </c>
      <c r="F14" s="38" t="str">
        <f ca="1">IF($B14="","",INDEX('Risk Register'!$E$6:$E$105,$B14))</f>
        <v/>
      </c>
      <c r="G14" s="37" t="str">
        <f ca="1">IF($B14="","",INDEX('Risk Register'!$O$6:$O$105,$B14))</f>
        <v/>
      </c>
      <c r="H14" s="37" t="str">
        <f ca="1">IF($B14="","",INDEX('Risk Register'!$S$6:$S$105,$B14))</f>
        <v/>
      </c>
      <c r="I14" s="37" t="str">
        <f ca="1">IF($B14="","",INDEX('Risk Register'!$T$6:$T$105,$B14))</f>
        <v/>
      </c>
      <c r="J14" s="37" t="str">
        <f t="shared" ca="1" si="0"/>
        <v/>
      </c>
      <c r="K14" s="38" t="str">
        <f ca="1">IF($B14="","",INDEX('Risk Register'!$U$6:$U$105,$B14))</f>
        <v/>
      </c>
      <c r="L14" s="38" t="str">
        <f ca="1">IF($B14="","",INDEX('Risk Register'!$Y$6:$Y$105,$B14))</f>
        <v/>
      </c>
      <c r="M14" s="38" t="str">
        <f ca="1">IF(K14="","",INDEX(Methodology!$B$48:$B$50,MATCH(K14,Methodology!$A$48:$A$50,0)))</f>
        <v/>
      </c>
      <c r="N14" s="45" t="str">
        <f ca="1">IF($B14="","",IF(INDEX('Risk Register'!$X$6:$X$105,$B14)="","",INDEX('Risk Register'!$X$6:$X$105,$B14)))</f>
        <v/>
      </c>
      <c r="O14" s="37" t="str">
        <f ca="1">IF(OR($B14="",N14=""),"",N14-Methodology!$B$4)</f>
        <v/>
      </c>
      <c r="P14" s="37" t="str">
        <f ca="1">IF($B14="","",INDEX('Risk Register'!$AC$6:$AC$105,$B14))</f>
        <v/>
      </c>
      <c r="Q14" s="44" t="str">
        <f t="shared" ca="1" si="1"/>
        <v/>
      </c>
    </row>
    <row r="15" spans="1:17" x14ac:dyDescent="0.35">
      <c r="A15" s="43">
        <v>9</v>
      </c>
      <c r="B15" s="43" t="str">
        <f ca="1">IFERROR(MATCH($A15,'Risk Register'!$AB$6:$AB$105,0),"")</f>
        <v/>
      </c>
      <c r="C15" s="38" t="str">
        <f ca="1">IF($B15="","",INDEX('Risk Register'!$A$6:$A$105,$B15))</f>
        <v/>
      </c>
      <c r="D15" s="44" t="str">
        <f ca="1">IF($B15="","",INDEX('Risk Register'!$B$6:$B$105,$B15))</f>
        <v/>
      </c>
      <c r="E15" s="38" t="str">
        <f ca="1">IF($B15="","",INDEX('Risk Register'!$D$6:$D$105,$B15))</f>
        <v/>
      </c>
      <c r="F15" s="38" t="str">
        <f ca="1">IF($B15="","",INDEX('Risk Register'!$E$6:$E$105,$B15))</f>
        <v/>
      </c>
      <c r="G15" s="37" t="str">
        <f ca="1">IF($B15="","",INDEX('Risk Register'!$O$6:$O$105,$B15))</f>
        <v/>
      </c>
      <c r="H15" s="37" t="str">
        <f ca="1">IF($B15="","",INDEX('Risk Register'!$S$6:$S$105,$B15))</f>
        <v/>
      </c>
      <c r="I15" s="37" t="str">
        <f ca="1">IF($B15="","",INDEX('Risk Register'!$T$6:$T$105,$B15))</f>
        <v/>
      </c>
      <c r="J15" s="37" t="str">
        <f t="shared" ca="1" si="0"/>
        <v/>
      </c>
      <c r="K15" s="38" t="str">
        <f ca="1">IF($B15="","",INDEX('Risk Register'!$U$6:$U$105,$B15))</f>
        <v/>
      </c>
      <c r="L15" s="38" t="str">
        <f ca="1">IF($B15="","",INDEX('Risk Register'!$Y$6:$Y$105,$B15))</f>
        <v/>
      </c>
      <c r="M15" s="38" t="str">
        <f ca="1">IF(K15="","",INDEX(Methodology!$B$48:$B$50,MATCH(K15,Methodology!$A$48:$A$50,0)))</f>
        <v/>
      </c>
      <c r="N15" s="45" t="str">
        <f ca="1">IF($B15="","",IF(INDEX('Risk Register'!$X$6:$X$105,$B15)="","",INDEX('Risk Register'!$X$6:$X$105,$B15)))</f>
        <v/>
      </c>
      <c r="O15" s="37" t="str">
        <f ca="1">IF(OR($B15="",N15=""),"",N15-Methodology!$B$4)</f>
        <v/>
      </c>
      <c r="P15" s="37" t="str">
        <f ca="1">IF($B15="","",INDEX('Risk Register'!$AC$6:$AC$105,$B15))</f>
        <v/>
      </c>
      <c r="Q15" s="44" t="str">
        <f t="shared" ca="1" si="1"/>
        <v/>
      </c>
    </row>
    <row r="16" spans="1:17" x14ac:dyDescent="0.35">
      <c r="A16" s="43">
        <v>10</v>
      </c>
      <c r="B16" s="43" t="str">
        <f ca="1">IFERROR(MATCH($A16,'Risk Register'!$AB$6:$AB$105,0),"")</f>
        <v/>
      </c>
      <c r="C16" s="38" t="str">
        <f ca="1">IF($B16="","",INDEX('Risk Register'!$A$6:$A$105,$B16))</f>
        <v/>
      </c>
      <c r="D16" s="44" t="str">
        <f ca="1">IF($B16="","",INDEX('Risk Register'!$B$6:$B$105,$B16))</f>
        <v/>
      </c>
      <c r="E16" s="38" t="str">
        <f ca="1">IF($B16="","",INDEX('Risk Register'!$D$6:$D$105,$B16))</f>
        <v/>
      </c>
      <c r="F16" s="38" t="str">
        <f ca="1">IF($B16="","",INDEX('Risk Register'!$E$6:$E$105,$B16))</f>
        <v/>
      </c>
      <c r="G16" s="37" t="str">
        <f ca="1">IF($B16="","",INDEX('Risk Register'!$O$6:$O$105,$B16))</f>
        <v/>
      </c>
      <c r="H16" s="37" t="str">
        <f ca="1">IF($B16="","",INDEX('Risk Register'!$S$6:$S$105,$B16))</f>
        <v/>
      </c>
      <c r="I16" s="37" t="str">
        <f ca="1">IF($B16="","",INDEX('Risk Register'!$T$6:$T$105,$B16))</f>
        <v/>
      </c>
      <c r="J16" s="37" t="str">
        <f t="shared" ca="1" si="0"/>
        <v/>
      </c>
      <c r="K16" s="38" t="str">
        <f ca="1">IF($B16="","",INDEX('Risk Register'!$U$6:$U$105,$B16))</f>
        <v/>
      </c>
      <c r="L16" s="38" t="str">
        <f ca="1">IF($B16="","",INDEX('Risk Register'!$Y$6:$Y$105,$B16))</f>
        <v/>
      </c>
      <c r="M16" s="38" t="str">
        <f ca="1">IF(K16="","",INDEX(Methodology!$B$48:$B$50,MATCH(K16,Methodology!$A$48:$A$50,0)))</f>
        <v/>
      </c>
      <c r="N16" s="45" t="str">
        <f ca="1">IF($B16="","",IF(INDEX('Risk Register'!$X$6:$X$105,$B16)="","",INDEX('Risk Register'!$X$6:$X$105,$B16)))</f>
        <v/>
      </c>
      <c r="O16" s="37" t="str">
        <f ca="1">IF(OR($B16="",N16=""),"",N16-Methodology!$B$4)</f>
        <v/>
      </c>
      <c r="P16" s="37" t="str">
        <f ca="1">IF($B16="","",INDEX('Risk Register'!$AC$6:$AC$105,$B16))</f>
        <v/>
      </c>
      <c r="Q16" s="44" t="str">
        <f t="shared" ca="1" si="1"/>
        <v/>
      </c>
    </row>
    <row r="17" spans="1:17" x14ac:dyDescent="0.35">
      <c r="A17" s="43">
        <v>11</v>
      </c>
      <c r="B17" s="43" t="str">
        <f ca="1">IFERROR(MATCH($A17,'Risk Register'!$AB$6:$AB$105,0),"")</f>
        <v/>
      </c>
      <c r="C17" s="38" t="str">
        <f ca="1">IF($B17="","",INDEX('Risk Register'!$A$6:$A$105,$B17))</f>
        <v/>
      </c>
      <c r="D17" s="44" t="str">
        <f ca="1">IF($B17="","",INDEX('Risk Register'!$B$6:$B$105,$B17))</f>
        <v/>
      </c>
      <c r="E17" s="38" t="str">
        <f ca="1">IF($B17="","",INDEX('Risk Register'!$D$6:$D$105,$B17))</f>
        <v/>
      </c>
      <c r="F17" s="38" t="str">
        <f ca="1">IF($B17="","",INDEX('Risk Register'!$E$6:$E$105,$B17))</f>
        <v/>
      </c>
      <c r="G17" s="37" t="str">
        <f ca="1">IF($B17="","",INDEX('Risk Register'!$O$6:$O$105,$B17))</f>
        <v/>
      </c>
      <c r="H17" s="37" t="str">
        <f ca="1">IF($B17="","",INDEX('Risk Register'!$S$6:$S$105,$B17))</f>
        <v/>
      </c>
      <c r="I17" s="37" t="str">
        <f ca="1">IF($B17="","",INDEX('Risk Register'!$T$6:$T$105,$B17))</f>
        <v/>
      </c>
      <c r="J17" s="37" t="str">
        <f t="shared" ca="1" si="0"/>
        <v/>
      </c>
      <c r="K17" s="38" t="str">
        <f ca="1">IF($B17="","",INDEX('Risk Register'!$U$6:$U$105,$B17))</f>
        <v/>
      </c>
      <c r="L17" s="38" t="str">
        <f ca="1">IF($B17="","",INDEX('Risk Register'!$Y$6:$Y$105,$B17))</f>
        <v/>
      </c>
      <c r="M17" s="38" t="str">
        <f ca="1">IF(K17="","",INDEX(Methodology!$B$48:$B$50,MATCH(K17,Methodology!$A$48:$A$50,0)))</f>
        <v/>
      </c>
      <c r="N17" s="45" t="str">
        <f ca="1">IF($B17="","",IF(INDEX('Risk Register'!$X$6:$X$105,$B17)="","",INDEX('Risk Register'!$X$6:$X$105,$B17)))</f>
        <v/>
      </c>
      <c r="O17" s="37" t="str">
        <f ca="1">IF(OR($B17="",N17=""),"",N17-Methodology!$B$4)</f>
        <v/>
      </c>
      <c r="P17" s="37" t="str">
        <f ca="1">IF($B17="","",INDEX('Risk Register'!$AC$6:$AC$105,$B17))</f>
        <v/>
      </c>
      <c r="Q17" s="44" t="str">
        <f t="shared" ca="1" si="1"/>
        <v/>
      </c>
    </row>
    <row r="18" spans="1:17" x14ac:dyDescent="0.35">
      <c r="A18" s="43">
        <v>12</v>
      </c>
      <c r="B18" s="43" t="str">
        <f ca="1">IFERROR(MATCH($A18,'Risk Register'!$AB$6:$AB$105,0),"")</f>
        <v/>
      </c>
      <c r="C18" s="38" t="str">
        <f ca="1">IF($B18="","",INDEX('Risk Register'!$A$6:$A$105,$B18))</f>
        <v/>
      </c>
      <c r="D18" s="44" t="str">
        <f ca="1">IF($B18="","",INDEX('Risk Register'!$B$6:$B$105,$B18))</f>
        <v/>
      </c>
      <c r="E18" s="38" t="str">
        <f ca="1">IF($B18="","",INDEX('Risk Register'!$D$6:$D$105,$B18))</f>
        <v/>
      </c>
      <c r="F18" s="38" t="str">
        <f ca="1">IF($B18="","",INDEX('Risk Register'!$E$6:$E$105,$B18))</f>
        <v/>
      </c>
      <c r="G18" s="37" t="str">
        <f ca="1">IF($B18="","",INDEX('Risk Register'!$O$6:$O$105,$B18))</f>
        <v/>
      </c>
      <c r="H18" s="37" t="str">
        <f ca="1">IF($B18="","",INDEX('Risk Register'!$S$6:$S$105,$B18))</f>
        <v/>
      </c>
      <c r="I18" s="37" t="str">
        <f ca="1">IF($B18="","",INDEX('Risk Register'!$T$6:$T$105,$B18))</f>
        <v/>
      </c>
      <c r="J18" s="37" t="str">
        <f t="shared" ca="1" si="0"/>
        <v/>
      </c>
      <c r="K18" s="38" t="str">
        <f ca="1">IF($B18="","",INDEX('Risk Register'!$U$6:$U$105,$B18))</f>
        <v/>
      </c>
      <c r="L18" s="38" t="str">
        <f ca="1">IF($B18="","",INDEX('Risk Register'!$Y$6:$Y$105,$B18))</f>
        <v/>
      </c>
      <c r="M18" s="38" t="str">
        <f ca="1">IF(K18="","",INDEX(Methodology!$B$48:$B$50,MATCH(K18,Methodology!$A$48:$A$50,0)))</f>
        <v/>
      </c>
      <c r="N18" s="45" t="str">
        <f ca="1">IF($B18="","",IF(INDEX('Risk Register'!$X$6:$X$105,$B18)="","",INDEX('Risk Register'!$X$6:$X$105,$B18)))</f>
        <v/>
      </c>
      <c r="O18" s="37" t="str">
        <f ca="1">IF(OR($B18="",N18=""),"",N18-Methodology!$B$4)</f>
        <v/>
      </c>
      <c r="P18" s="37" t="str">
        <f ca="1">IF($B18="","",INDEX('Risk Register'!$AC$6:$AC$105,$B18))</f>
        <v/>
      </c>
      <c r="Q18" s="44" t="str">
        <f t="shared" ca="1" si="1"/>
        <v/>
      </c>
    </row>
    <row r="19" spans="1:17" x14ac:dyDescent="0.35">
      <c r="A19" s="43">
        <v>13</v>
      </c>
      <c r="B19" s="43" t="str">
        <f ca="1">IFERROR(MATCH($A19,'Risk Register'!$AB$6:$AB$105,0),"")</f>
        <v/>
      </c>
      <c r="C19" s="38" t="str">
        <f ca="1">IF($B19="","",INDEX('Risk Register'!$A$6:$A$105,$B19))</f>
        <v/>
      </c>
      <c r="D19" s="44" t="str">
        <f ca="1">IF($B19="","",INDEX('Risk Register'!$B$6:$B$105,$B19))</f>
        <v/>
      </c>
      <c r="E19" s="38" t="str">
        <f ca="1">IF($B19="","",INDEX('Risk Register'!$D$6:$D$105,$B19))</f>
        <v/>
      </c>
      <c r="F19" s="38" t="str">
        <f ca="1">IF($B19="","",INDEX('Risk Register'!$E$6:$E$105,$B19))</f>
        <v/>
      </c>
      <c r="G19" s="37" t="str">
        <f ca="1">IF($B19="","",INDEX('Risk Register'!$O$6:$O$105,$B19))</f>
        <v/>
      </c>
      <c r="H19" s="37" t="str">
        <f ca="1">IF($B19="","",INDEX('Risk Register'!$S$6:$S$105,$B19))</f>
        <v/>
      </c>
      <c r="I19" s="37" t="str">
        <f ca="1">IF($B19="","",INDEX('Risk Register'!$T$6:$T$105,$B19))</f>
        <v/>
      </c>
      <c r="J19" s="37" t="str">
        <f t="shared" ca="1" si="0"/>
        <v/>
      </c>
      <c r="K19" s="38" t="str">
        <f ca="1">IF($B19="","",INDEX('Risk Register'!$U$6:$U$105,$B19))</f>
        <v/>
      </c>
      <c r="L19" s="38" t="str">
        <f ca="1">IF($B19="","",INDEX('Risk Register'!$Y$6:$Y$105,$B19))</f>
        <v/>
      </c>
      <c r="M19" s="38" t="str">
        <f ca="1">IF(K19="","",INDEX(Methodology!$B$48:$B$50,MATCH(K19,Methodology!$A$48:$A$50,0)))</f>
        <v/>
      </c>
      <c r="N19" s="45" t="str">
        <f ca="1">IF($B19="","",IF(INDEX('Risk Register'!$X$6:$X$105,$B19)="","",INDEX('Risk Register'!$X$6:$X$105,$B19)))</f>
        <v/>
      </c>
      <c r="O19" s="37" t="str">
        <f ca="1">IF(OR($B19="",N19=""),"",N19-Methodology!$B$4)</f>
        <v/>
      </c>
      <c r="P19" s="37" t="str">
        <f ca="1">IF($B19="","",INDEX('Risk Register'!$AC$6:$AC$105,$B19))</f>
        <v/>
      </c>
      <c r="Q19" s="44" t="str">
        <f t="shared" ca="1" si="1"/>
        <v/>
      </c>
    </row>
    <row r="20" spans="1:17" x14ac:dyDescent="0.35">
      <c r="A20" s="43">
        <v>14</v>
      </c>
      <c r="B20" s="43" t="str">
        <f ca="1">IFERROR(MATCH($A20,'Risk Register'!$AB$6:$AB$105,0),"")</f>
        <v/>
      </c>
      <c r="C20" s="38" t="str">
        <f ca="1">IF($B20="","",INDEX('Risk Register'!$A$6:$A$105,$B20))</f>
        <v/>
      </c>
      <c r="D20" s="44" t="str">
        <f ca="1">IF($B20="","",INDEX('Risk Register'!$B$6:$B$105,$B20))</f>
        <v/>
      </c>
      <c r="E20" s="38" t="str">
        <f ca="1">IF($B20="","",INDEX('Risk Register'!$D$6:$D$105,$B20))</f>
        <v/>
      </c>
      <c r="F20" s="38" t="str">
        <f ca="1">IF($B20="","",INDEX('Risk Register'!$E$6:$E$105,$B20))</f>
        <v/>
      </c>
      <c r="G20" s="37" t="str">
        <f ca="1">IF($B20="","",INDEX('Risk Register'!$O$6:$O$105,$B20))</f>
        <v/>
      </c>
      <c r="H20" s="37" t="str">
        <f ca="1">IF($B20="","",INDEX('Risk Register'!$S$6:$S$105,$B20))</f>
        <v/>
      </c>
      <c r="I20" s="37" t="str">
        <f ca="1">IF($B20="","",INDEX('Risk Register'!$T$6:$T$105,$B20))</f>
        <v/>
      </c>
      <c r="J20" s="37" t="str">
        <f t="shared" ca="1" si="0"/>
        <v/>
      </c>
      <c r="K20" s="38" t="str">
        <f ca="1">IF($B20="","",INDEX('Risk Register'!$U$6:$U$105,$B20))</f>
        <v/>
      </c>
      <c r="L20" s="38" t="str">
        <f ca="1">IF($B20="","",INDEX('Risk Register'!$Y$6:$Y$105,$B20))</f>
        <v/>
      </c>
      <c r="M20" s="38" t="str">
        <f ca="1">IF(K20="","",INDEX(Methodology!$B$48:$B$50,MATCH(K20,Methodology!$A$48:$A$50,0)))</f>
        <v/>
      </c>
      <c r="N20" s="45" t="str">
        <f ca="1">IF($B20="","",IF(INDEX('Risk Register'!$X$6:$X$105,$B20)="","",INDEX('Risk Register'!$X$6:$X$105,$B20)))</f>
        <v/>
      </c>
      <c r="O20" s="37" t="str">
        <f ca="1">IF(OR($B20="",N20=""),"",N20-Methodology!$B$4)</f>
        <v/>
      </c>
      <c r="P20" s="37" t="str">
        <f ca="1">IF($B20="","",INDEX('Risk Register'!$AC$6:$AC$105,$B20))</f>
        <v/>
      </c>
      <c r="Q20" s="44" t="str">
        <f t="shared" ca="1" si="1"/>
        <v/>
      </c>
    </row>
    <row r="21" spans="1:17" x14ac:dyDescent="0.35">
      <c r="A21" s="43">
        <v>15</v>
      </c>
      <c r="B21" s="43" t="str">
        <f ca="1">IFERROR(MATCH($A21,'Risk Register'!$AB$6:$AB$105,0),"")</f>
        <v/>
      </c>
      <c r="C21" s="38" t="str">
        <f ca="1">IF($B21="","",INDEX('Risk Register'!$A$6:$A$105,$B21))</f>
        <v/>
      </c>
      <c r="D21" s="44" t="str">
        <f ca="1">IF($B21="","",INDEX('Risk Register'!$B$6:$B$105,$B21))</f>
        <v/>
      </c>
      <c r="E21" s="38" t="str">
        <f ca="1">IF($B21="","",INDEX('Risk Register'!$D$6:$D$105,$B21))</f>
        <v/>
      </c>
      <c r="F21" s="38" t="str">
        <f ca="1">IF($B21="","",INDEX('Risk Register'!$E$6:$E$105,$B21))</f>
        <v/>
      </c>
      <c r="G21" s="37" t="str">
        <f ca="1">IF($B21="","",INDEX('Risk Register'!$O$6:$O$105,$B21))</f>
        <v/>
      </c>
      <c r="H21" s="37" t="str">
        <f ca="1">IF($B21="","",INDEX('Risk Register'!$S$6:$S$105,$B21))</f>
        <v/>
      </c>
      <c r="I21" s="37" t="str">
        <f ca="1">IF($B21="","",INDEX('Risk Register'!$T$6:$T$105,$B21))</f>
        <v/>
      </c>
      <c r="J21" s="37" t="str">
        <f t="shared" ca="1" si="0"/>
        <v/>
      </c>
      <c r="K21" s="38" t="str">
        <f ca="1">IF($B21="","",INDEX('Risk Register'!$U$6:$U$105,$B21))</f>
        <v/>
      </c>
      <c r="L21" s="38" t="str">
        <f ca="1">IF($B21="","",INDEX('Risk Register'!$Y$6:$Y$105,$B21))</f>
        <v/>
      </c>
      <c r="M21" s="38" t="str">
        <f ca="1">IF(K21="","",INDEX(Methodology!$B$48:$B$50,MATCH(K21,Methodology!$A$48:$A$50,0)))</f>
        <v/>
      </c>
      <c r="N21" s="45" t="str">
        <f ca="1">IF($B21="","",IF(INDEX('Risk Register'!$X$6:$X$105,$B21)="","",INDEX('Risk Register'!$X$6:$X$105,$B21)))</f>
        <v/>
      </c>
      <c r="O21" s="37" t="str">
        <f ca="1">IF(OR($B21="",N21=""),"",N21-Methodology!$B$4)</f>
        <v/>
      </c>
      <c r="P21" s="37" t="str">
        <f ca="1">IF($B21="","",INDEX('Risk Register'!$AC$6:$AC$105,$B21))</f>
        <v/>
      </c>
      <c r="Q21" s="44" t="str">
        <f t="shared" ca="1" si="1"/>
        <v/>
      </c>
    </row>
    <row r="22" spans="1:17" x14ac:dyDescent="0.35">
      <c r="A22" s="43">
        <v>16</v>
      </c>
      <c r="B22" s="43" t="str">
        <f ca="1">IFERROR(MATCH($A22,'Risk Register'!$AB$6:$AB$105,0),"")</f>
        <v/>
      </c>
      <c r="C22" s="38" t="str">
        <f ca="1">IF($B22="","",INDEX('Risk Register'!$A$6:$A$105,$B22))</f>
        <v/>
      </c>
      <c r="D22" s="44" t="str">
        <f ca="1">IF($B22="","",INDEX('Risk Register'!$B$6:$B$105,$B22))</f>
        <v/>
      </c>
      <c r="E22" s="38" t="str">
        <f ca="1">IF($B22="","",INDEX('Risk Register'!$D$6:$D$105,$B22))</f>
        <v/>
      </c>
      <c r="F22" s="38" t="str">
        <f ca="1">IF($B22="","",INDEX('Risk Register'!$E$6:$E$105,$B22))</f>
        <v/>
      </c>
      <c r="G22" s="37" t="str">
        <f ca="1">IF($B22="","",INDEX('Risk Register'!$O$6:$O$105,$B22))</f>
        <v/>
      </c>
      <c r="H22" s="37" t="str">
        <f ca="1">IF($B22="","",INDEX('Risk Register'!$S$6:$S$105,$B22))</f>
        <v/>
      </c>
      <c r="I22" s="37" t="str">
        <f ca="1">IF($B22="","",INDEX('Risk Register'!$T$6:$T$105,$B22))</f>
        <v/>
      </c>
      <c r="J22" s="37" t="str">
        <f t="shared" ca="1" si="0"/>
        <v/>
      </c>
      <c r="K22" s="38" t="str">
        <f ca="1">IF($B22="","",INDEX('Risk Register'!$U$6:$U$105,$B22))</f>
        <v/>
      </c>
      <c r="L22" s="38" t="str">
        <f ca="1">IF($B22="","",INDEX('Risk Register'!$Y$6:$Y$105,$B22))</f>
        <v/>
      </c>
      <c r="M22" s="38" t="str">
        <f ca="1">IF(K22="","",INDEX(Methodology!$B$48:$B$50,MATCH(K22,Methodology!$A$48:$A$50,0)))</f>
        <v/>
      </c>
      <c r="N22" s="45" t="str">
        <f ca="1">IF($B22="","",IF(INDEX('Risk Register'!$X$6:$X$105,$B22)="","",INDEX('Risk Register'!$X$6:$X$105,$B22)))</f>
        <v/>
      </c>
      <c r="O22" s="37" t="str">
        <f ca="1">IF(OR($B22="",N22=""),"",N22-Methodology!$B$4)</f>
        <v/>
      </c>
      <c r="P22" s="37" t="str">
        <f ca="1">IF($B22="","",INDEX('Risk Register'!$AC$6:$AC$105,$B22))</f>
        <v/>
      </c>
      <c r="Q22" s="44" t="str">
        <f t="shared" ca="1" si="1"/>
        <v/>
      </c>
    </row>
    <row r="23" spans="1:17" x14ac:dyDescent="0.35">
      <c r="A23" s="43">
        <v>17</v>
      </c>
      <c r="B23" s="43" t="str">
        <f ca="1">IFERROR(MATCH($A23,'Risk Register'!$AB$6:$AB$105,0),"")</f>
        <v/>
      </c>
      <c r="C23" s="38" t="str">
        <f ca="1">IF($B23="","",INDEX('Risk Register'!$A$6:$A$105,$B23))</f>
        <v/>
      </c>
      <c r="D23" s="44" t="str">
        <f ca="1">IF($B23="","",INDEX('Risk Register'!$B$6:$B$105,$B23))</f>
        <v/>
      </c>
      <c r="E23" s="38" t="str">
        <f ca="1">IF($B23="","",INDEX('Risk Register'!$D$6:$D$105,$B23))</f>
        <v/>
      </c>
      <c r="F23" s="38" t="str">
        <f ca="1">IF($B23="","",INDEX('Risk Register'!$E$6:$E$105,$B23))</f>
        <v/>
      </c>
      <c r="G23" s="37" t="str">
        <f ca="1">IF($B23="","",INDEX('Risk Register'!$O$6:$O$105,$B23))</f>
        <v/>
      </c>
      <c r="H23" s="37" t="str">
        <f ca="1">IF($B23="","",INDEX('Risk Register'!$S$6:$S$105,$B23))</f>
        <v/>
      </c>
      <c r="I23" s="37" t="str">
        <f ca="1">IF($B23="","",INDEX('Risk Register'!$T$6:$T$105,$B23))</f>
        <v/>
      </c>
      <c r="J23" s="37" t="str">
        <f t="shared" ca="1" si="0"/>
        <v/>
      </c>
      <c r="K23" s="38" t="str">
        <f ca="1">IF($B23="","",INDEX('Risk Register'!$U$6:$U$105,$B23))</f>
        <v/>
      </c>
      <c r="L23" s="38" t="str">
        <f ca="1">IF($B23="","",INDEX('Risk Register'!$Y$6:$Y$105,$B23))</f>
        <v/>
      </c>
      <c r="M23" s="38" t="str">
        <f ca="1">IF(K23="","",INDEX(Methodology!$B$48:$B$50,MATCH(K23,Methodology!$A$48:$A$50,0)))</f>
        <v/>
      </c>
      <c r="N23" s="45" t="str">
        <f ca="1">IF($B23="","",IF(INDEX('Risk Register'!$X$6:$X$105,$B23)="","",INDEX('Risk Register'!$X$6:$X$105,$B23)))</f>
        <v/>
      </c>
      <c r="O23" s="37" t="str">
        <f ca="1">IF(OR($B23="",N23=""),"",N23-Methodology!$B$4)</f>
        <v/>
      </c>
      <c r="P23" s="37" t="str">
        <f ca="1">IF($B23="","",INDEX('Risk Register'!$AC$6:$AC$105,$B23))</f>
        <v/>
      </c>
      <c r="Q23" s="44" t="str">
        <f t="shared" ca="1" si="1"/>
        <v/>
      </c>
    </row>
    <row r="24" spans="1:17" x14ac:dyDescent="0.35">
      <c r="A24" s="43">
        <v>18</v>
      </c>
      <c r="B24" s="43" t="str">
        <f ca="1">IFERROR(MATCH($A24,'Risk Register'!$AB$6:$AB$105,0),"")</f>
        <v/>
      </c>
      <c r="C24" s="38" t="str">
        <f ca="1">IF($B24="","",INDEX('Risk Register'!$A$6:$A$105,$B24))</f>
        <v/>
      </c>
      <c r="D24" s="44" t="str">
        <f ca="1">IF($B24="","",INDEX('Risk Register'!$B$6:$B$105,$B24))</f>
        <v/>
      </c>
      <c r="E24" s="38" t="str">
        <f ca="1">IF($B24="","",INDEX('Risk Register'!$D$6:$D$105,$B24))</f>
        <v/>
      </c>
      <c r="F24" s="38" t="str">
        <f ca="1">IF($B24="","",INDEX('Risk Register'!$E$6:$E$105,$B24))</f>
        <v/>
      </c>
      <c r="G24" s="37" t="str">
        <f ca="1">IF($B24="","",INDEX('Risk Register'!$O$6:$O$105,$B24))</f>
        <v/>
      </c>
      <c r="H24" s="37" t="str">
        <f ca="1">IF($B24="","",INDEX('Risk Register'!$S$6:$S$105,$B24))</f>
        <v/>
      </c>
      <c r="I24" s="37" t="str">
        <f ca="1">IF($B24="","",INDEX('Risk Register'!$T$6:$T$105,$B24))</f>
        <v/>
      </c>
      <c r="J24" s="37" t="str">
        <f t="shared" ca="1" si="0"/>
        <v/>
      </c>
      <c r="K24" s="38" t="str">
        <f ca="1">IF($B24="","",INDEX('Risk Register'!$U$6:$U$105,$B24))</f>
        <v/>
      </c>
      <c r="L24" s="38" t="str">
        <f ca="1">IF($B24="","",INDEX('Risk Register'!$Y$6:$Y$105,$B24))</f>
        <v/>
      </c>
      <c r="M24" s="38" t="str">
        <f ca="1">IF(K24="","",INDEX(Methodology!$B$48:$B$50,MATCH(K24,Methodology!$A$48:$A$50,0)))</f>
        <v/>
      </c>
      <c r="N24" s="45" t="str">
        <f ca="1">IF($B24="","",IF(INDEX('Risk Register'!$X$6:$X$105,$B24)="","",INDEX('Risk Register'!$X$6:$X$105,$B24)))</f>
        <v/>
      </c>
      <c r="O24" s="37" t="str">
        <f ca="1">IF(OR($B24="",N24=""),"",N24-Methodology!$B$4)</f>
        <v/>
      </c>
      <c r="P24" s="37" t="str">
        <f ca="1">IF($B24="","",INDEX('Risk Register'!$AC$6:$AC$105,$B24))</f>
        <v/>
      </c>
      <c r="Q24" s="44" t="str">
        <f t="shared" ca="1" si="1"/>
        <v/>
      </c>
    </row>
    <row r="25" spans="1:17" x14ac:dyDescent="0.35">
      <c r="A25" s="43">
        <v>19</v>
      </c>
      <c r="B25" s="43" t="str">
        <f ca="1">IFERROR(MATCH($A25,'Risk Register'!$AB$6:$AB$105,0),"")</f>
        <v/>
      </c>
      <c r="C25" s="38" t="str">
        <f ca="1">IF($B25="","",INDEX('Risk Register'!$A$6:$A$105,$B25))</f>
        <v/>
      </c>
      <c r="D25" s="44" t="str">
        <f ca="1">IF($B25="","",INDEX('Risk Register'!$B$6:$B$105,$B25))</f>
        <v/>
      </c>
      <c r="E25" s="38" t="str">
        <f ca="1">IF($B25="","",INDEX('Risk Register'!$D$6:$D$105,$B25))</f>
        <v/>
      </c>
      <c r="F25" s="38" t="str">
        <f ca="1">IF($B25="","",INDEX('Risk Register'!$E$6:$E$105,$B25))</f>
        <v/>
      </c>
      <c r="G25" s="37" t="str">
        <f ca="1">IF($B25="","",INDEX('Risk Register'!$O$6:$O$105,$B25))</f>
        <v/>
      </c>
      <c r="H25" s="37" t="str">
        <f ca="1">IF($B25="","",INDEX('Risk Register'!$S$6:$S$105,$B25))</f>
        <v/>
      </c>
      <c r="I25" s="37" t="str">
        <f ca="1">IF($B25="","",INDEX('Risk Register'!$T$6:$T$105,$B25))</f>
        <v/>
      </c>
      <c r="J25" s="37" t="str">
        <f t="shared" ca="1" si="0"/>
        <v/>
      </c>
      <c r="K25" s="38" t="str">
        <f ca="1">IF($B25="","",INDEX('Risk Register'!$U$6:$U$105,$B25))</f>
        <v/>
      </c>
      <c r="L25" s="38" t="str">
        <f ca="1">IF($B25="","",INDEX('Risk Register'!$Y$6:$Y$105,$B25))</f>
        <v/>
      </c>
      <c r="M25" s="38" t="str">
        <f ca="1">IF(K25="","",INDEX(Methodology!$B$48:$B$50,MATCH(K25,Methodology!$A$48:$A$50,0)))</f>
        <v/>
      </c>
      <c r="N25" s="45" t="str">
        <f ca="1">IF($B25="","",IF(INDEX('Risk Register'!$X$6:$X$105,$B25)="","",INDEX('Risk Register'!$X$6:$X$105,$B25)))</f>
        <v/>
      </c>
      <c r="O25" s="37" t="str">
        <f ca="1">IF(OR($B25="",N25=""),"",N25-Methodology!$B$4)</f>
        <v/>
      </c>
      <c r="P25" s="37" t="str">
        <f ca="1">IF($B25="","",INDEX('Risk Register'!$AC$6:$AC$105,$B25))</f>
        <v/>
      </c>
      <c r="Q25" s="44" t="str">
        <f t="shared" ca="1" si="1"/>
        <v/>
      </c>
    </row>
    <row r="26" spans="1:17" x14ac:dyDescent="0.35">
      <c r="A26" s="43">
        <v>20</v>
      </c>
      <c r="B26" s="43" t="str">
        <f ca="1">IFERROR(MATCH($A26,'Risk Register'!$AB$6:$AB$105,0),"")</f>
        <v/>
      </c>
      <c r="C26" s="38" t="str">
        <f ca="1">IF($B26="","",INDEX('Risk Register'!$A$6:$A$105,$B26))</f>
        <v/>
      </c>
      <c r="D26" s="44" t="str">
        <f ca="1">IF($B26="","",INDEX('Risk Register'!$B$6:$B$105,$B26))</f>
        <v/>
      </c>
      <c r="E26" s="38" t="str">
        <f ca="1">IF($B26="","",INDEX('Risk Register'!$D$6:$D$105,$B26))</f>
        <v/>
      </c>
      <c r="F26" s="38" t="str">
        <f ca="1">IF($B26="","",INDEX('Risk Register'!$E$6:$E$105,$B26))</f>
        <v/>
      </c>
      <c r="G26" s="37" t="str">
        <f ca="1">IF($B26="","",INDEX('Risk Register'!$O$6:$O$105,$B26))</f>
        <v/>
      </c>
      <c r="H26" s="37" t="str">
        <f ca="1">IF($B26="","",INDEX('Risk Register'!$S$6:$S$105,$B26))</f>
        <v/>
      </c>
      <c r="I26" s="37" t="str">
        <f ca="1">IF($B26="","",INDEX('Risk Register'!$T$6:$T$105,$B26))</f>
        <v/>
      </c>
      <c r="J26" s="37" t="str">
        <f t="shared" ca="1" si="0"/>
        <v/>
      </c>
      <c r="K26" s="38" t="str">
        <f ca="1">IF($B26="","",INDEX('Risk Register'!$U$6:$U$105,$B26))</f>
        <v/>
      </c>
      <c r="L26" s="38" t="str">
        <f ca="1">IF($B26="","",INDEX('Risk Register'!$Y$6:$Y$105,$B26))</f>
        <v/>
      </c>
      <c r="M26" s="38" t="str">
        <f ca="1">IF(K26="","",INDEX(Methodology!$B$48:$B$50,MATCH(K26,Methodology!$A$48:$A$50,0)))</f>
        <v/>
      </c>
      <c r="N26" s="45" t="str">
        <f ca="1">IF($B26="","",IF(INDEX('Risk Register'!$X$6:$X$105,$B26)="","",INDEX('Risk Register'!$X$6:$X$105,$B26)))</f>
        <v/>
      </c>
      <c r="O26" s="37" t="str">
        <f ca="1">IF(OR($B26="",N26=""),"",N26-Methodology!$B$4)</f>
        <v/>
      </c>
      <c r="P26" s="37" t="str">
        <f ca="1">IF($B26="","",INDEX('Risk Register'!$AC$6:$AC$105,$B26))</f>
        <v/>
      </c>
      <c r="Q26" s="44" t="str">
        <f t="shared" ca="1" si="1"/>
        <v/>
      </c>
    </row>
    <row r="27" spans="1:17" x14ac:dyDescent="0.35">
      <c r="A27" s="43">
        <v>21</v>
      </c>
      <c r="B27" s="43" t="str">
        <f ca="1">IFERROR(MATCH($A27,'Risk Register'!$AB$6:$AB$105,0),"")</f>
        <v/>
      </c>
      <c r="C27" s="38" t="str">
        <f ca="1">IF($B27="","",INDEX('Risk Register'!$A$6:$A$105,$B27))</f>
        <v/>
      </c>
      <c r="D27" s="44" t="str">
        <f ca="1">IF($B27="","",INDEX('Risk Register'!$B$6:$B$105,$B27))</f>
        <v/>
      </c>
      <c r="E27" s="38" t="str">
        <f ca="1">IF($B27="","",INDEX('Risk Register'!$D$6:$D$105,$B27))</f>
        <v/>
      </c>
      <c r="F27" s="38" t="str">
        <f ca="1">IF($B27="","",INDEX('Risk Register'!$E$6:$E$105,$B27))</f>
        <v/>
      </c>
      <c r="G27" s="37" t="str">
        <f ca="1">IF($B27="","",INDEX('Risk Register'!$O$6:$O$105,$B27))</f>
        <v/>
      </c>
      <c r="H27" s="37" t="str">
        <f ca="1">IF($B27="","",INDEX('Risk Register'!$S$6:$S$105,$B27))</f>
        <v/>
      </c>
      <c r="I27" s="37" t="str">
        <f ca="1">IF($B27="","",INDEX('Risk Register'!$T$6:$T$105,$B27))</f>
        <v/>
      </c>
      <c r="J27" s="37" t="str">
        <f t="shared" ca="1" si="0"/>
        <v/>
      </c>
      <c r="K27" s="38" t="str">
        <f ca="1">IF($B27="","",INDEX('Risk Register'!$U$6:$U$105,$B27))</f>
        <v/>
      </c>
      <c r="L27" s="38" t="str">
        <f ca="1">IF($B27="","",INDEX('Risk Register'!$Y$6:$Y$105,$B27))</f>
        <v/>
      </c>
      <c r="M27" s="38" t="str">
        <f ca="1">IF(K27="","",INDEX(Methodology!$B$48:$B$50,MATCH(K27,Methodology!$A$48:$A$50,0)))</f>
        <v/>
      </c>
      <c r="N27" s="45" t="str">
        <f ca="1">IF($B27="","",IF(INDEX('Risk Register'!$X$6:$X$105,$B27)="","",INDEX('Risk Register'!$X$6:$X$105,$B27)))</f>
        <v/>
      </c>
      <c r="O27" s="37" t="str">
        <f ca="1">IF(OR($B27="",N27=""),"",N27-Methodology!$B$4)</f>
        <v/>
      </c>
      <c r="P27" s="37" t="str">
        <f ca="1">IF($B27="","",INDEX('Risk Register'!$AC$6:$AC$105,$B27))</f>
        <v/>
      </c>
      <c r="Q27" s="44" t="str">
        <f t="shared" ca="1" si="1"/>
        <v/>
      </c>
    </row>
    <row r="28" spans="1:17" x14ac:dyDescent="0.35">
      <c r="A28" s="43">
        <v>22</v>
      </c>
      <c r="B28" s="43" t="str">
        <f ca="1">IFERROR(MATCH($A28,'Risk Register'!$AB$6:$AB$105,0),"")</f>
        <v/>
      </c>
      <c r="C28" s="38" t="str">
        <f ca="1">IF($B28="","",INDEX('Risk Register'!$A$6:$A$105,$B28))</f>
        <v/>
      </c>
      <c r="D28" s="44" t="str">
        <f ca="1">IF($B28="","",INDEX('Risk Register'!$B$6:$B$105,$B28))</f>
        <v/>
      </c>
      <c r="E28" s="38" t="str">
        <f ca="1">IF($B28="","",INDEX('Risk Register'!$D$6:$D$105,$B28))</f>
        <v/>
      </c>
      <c r="F28" s="38" t="str">
        <f ca="1">IF($B28="","",INDEX('Risk Register'!$E$6:$E$105,$B28))</f>
        <v/>
      </c>
      <c r="G28" s="37" t="str">
        <f ca="1">IF($B28="","",INDEX('Risk Register'!$O$6:$O$105,$B28))</f>
        <v/>
      </c>
      <c r="H28" s="37" t="str">
        <f ca="1">IF($B28="","",INDEX('Risk Register'!$S$6:$S$105,$B28))</f>
        <v/>
      </c>
      <c r="I28" s="37" t="str">
        <f ca="1">IF($B28="","",INDEX('Risk Register'!$T$6:$T$105,$B28))</f>
        <v/>
      </c>
      <c r="J28" s="37" t="str">
        <f t="shared" ca="1" si="0"/>
        <v/>
      </c>
      <c r="K28" s="38" t="str">
        <f ca="1">IF($B28="","",INDEX('Risk Register'!$U$6:$U$105,$B28))</f>
        <v/>
      </c>
      <c r="L28" s="38" t="str">
        <f ca="1">IF($B28="","",INDEX('Risk Register'!$Y$6:$Y$105,$B28))</f>
        <v/>
      </c>
      <c r="M28" s="38" t="str">
        <f ca="1">IF(K28="","",INDEX(Methodology!$B$48:$B$50,MATCH(K28,Methodology!$A$48:$A$50,0)))</f>
        <v/>
      </c>
      <c r="N28" s="45" t="str">
        <f ca="1">IF($B28="","",IF(INDEX('Risk Register'!$X$6:$X$105,$B28)="","",INDEX('Risk Register'!$X$6:$X$105,$B28)))</f>
        <v/>
      </c>
      <c r="O28" s="37" t="str">
        <f ca="1">IF(OR($B28="",N28=""),"",N28-Methodology!$B$4)</f>
        <v/>
      </c>
      <c r="P28" s="37" t="str">
        <f ca="1">IF($B28="","",INDEX('Risk Register'!$AC$6:$AC$105,$B28))</f>
        <v/>
      </c>
      <c r="Q28" s="44" t="str">
        <f t="shared" ca="1" si="1"/>
        <v/>
      </c>
    </row>
    <row r="29" spans="1:17" x14ac:dyDescent="0.35">
      <c r="A29" s="43">
        <v>23</v>
      </c>
      <c r="B29" s="43" t="str">
        <f ca="1">IFERROR(MATCH($A29,'Risk Register'!$AB$6:$AB$105,0),"")</f>
        <v/>
      </c>
      <c r="C29" s="38" t="str">
        <f ca="1">IF($B29="","",INDEX('Risk Register'!$A$6:$A$105,$B29))</f>
        <v/>
      </c>
      <c r="D29" s="44" t="str">
        <f ca="1">IF($B29="","",INDEX('Risk Register'!$B$6:$B$105,$B29))</f>
        <v/>
      </c>
      <c r="E29" s="38" t="str">
        <f ca="1">IF($B29="","",INDEX('Risk Register'!$D$6:$D$105,$B29))</f>
        <v/>
      </c>
      <c r="F29" s="38" t="str">
        <f ca="1">IF($B29="","",INDEX('Risk Register'!$E$6:$E$105,$B29))</f>
        <v/>
      </c>
      <c r="G29" s="37" t="str">
        <f ca="1">IF($B29="","",INDEX('Risk Register'!$O$6:$O$105,$B29))</f>
        <v/>
      </c>
      <c r="H29" s="37" t="str">
        <f ca="1">IF($B29="","",INDEX('Risk Register'!$S$6:$S$105,$B29))</f>
        <v/>
      </c>
      <c r="I29" s="37" t="str">
        <f ca="1">IF($B29="","",INDEX('Risk Register'!$T$6:$T$105,$B29))</f>
        <v/>
      </c>
      <c r="J29" s="37" t="str">
        <f t="shared" ca="1" si="0"/>
        <v/>
      </c>
      <c r="K29" s="38" t="str">
        <f ca="1">IF($B29="","",INDEX('Risk Register'!$U$6:$U$105,$B29))</f>
        <v/>
      </c>
      <c r="L29" s="38" t="str">
        <f ca="1">IF($B29="","",INDEX('Risk Register'!$Y$6:$Y$105,$B29))</f>
        <v/>
      </c>
      <c r="M29" s="38" t="str">
        <f ca="1">IF(K29="","",INDEX(Methodology!$B$48:$B$50,MATCH(K29,Methodology!$A$48:$A$50,0)))</f>
        <v/>
      </c>
      <c r="N29" s="45" t="str">
        <f ca="1">IF($B29="","",IF(INDEX('Risk Register'!$X$6:$X$105,$B29)="","",INDEX('Risk Register'!$X$6:$X$105,$B29)))</f>
        <v/>
      </c>
      <c r="O29" s="37" t="str">
        <f ca="1">IF(OR($B29="",N29=""),"",N29-Methodology!$B$4)</f>
        <v/>
      </c>
      <c r="P29" s="37" t="str">
        <f ca="1">IF($B29="","",INDEX('Risk Register'!$AC$6:$AC$105,$B29))</f>
        <v/>
      </c>
      <c r="Q29" s="44" t="str">
        <f t="shared" ca="1" si="1"/>
        <v/>
      </c>
    </row>
    <row r="30" spans="1:17" x14ac:dyDescent="0.35">
      <c r="A30" s="43">
        <v>24</v>
      </c>
      <c r="B30" s="43" t="str">
        <f ca="1">IFERROR(MATCH($A30,'Risk Register'!$AB$6:$AB$105,0),"")</f>
        <v/>
      </c>
      <c r="C30" s="38" t="str">
        <f ca="1">IF($B30="","",INDEX('Risk Register'!$A$6:$A$105,$B30))</f>
        <v/>
      </c>
      <c r="D30" s="44" t="str">
        <f ca="1">IF($B30="","",INDEX('Risk Register'!$B$6:$B$105,$B30))</f>
        <v/>
      </c>
      <c r="E30" s="38" t="str">
        <f ca="1">IF($B30="","",INDEX('Risk Register'!$D$6:$D$105,$B30))</f>
        <v/>
      </c>
      <c r="F30" s="38" t="str">
        <f ca="1">IF($B30="","",INDEX('Risk Register'!$E$6:$E$105,$B30))</f>
        <v/>
      </c>
      <c r="G30" s="37" t="str">
        <f ca="1">IF($B30="","",INDEX('Risk Register'!$O$6:$O$105,$B30))</f>
        <v/>
      </c>
      <c r="H30" s="37" t="str">
        <f ca="1">IF($B30="","",INDEX('Risk Register'!$S$6:$S$105,$B30))</f>
        <v/>
      </c>
      <c r="I30" s="37" t="str">
        <f ca="1">IF($B30="","",INDEX('Risk Register'!$T$6:$T$105,$B30))</f>
        <v/>
      </c>
      <c r="J30" s="37" t="str">
        <f t="shared" ca="1" si="0"/>
        <v/>
      </c>
      <c r="K30" s="38" t="str">
        <f ca="1">IF($B30="","",INDEX('Risk Register'!$U$6:$U$105,$B30))</f>
        <v/>
      </c>
      <c r="L30" s="38" t="str">
        <f ca="1">IF($B30="","",INDEX('Risk Register'!$Y$6:$Y$105,$B30))</f>
        <v/>
      </c>
      <c r="M30" s="38" t="str">
        <f ca="1">IF(K30="","",INDEX(Methodology!$B$48:$B$50,MATCH(K30,Methodology!$A$48:$A$50,0)))</f>
        <v/>
      </c>
      <c r="N30" s="45" t="str">
        <f ca="1">IF($B30="","",IF(INDEX('Risk Register'!$X$6:$X$105,$B30)="","",INDEX('Risk Register'!$X$6:$X$105,$B30)))</f>
        <v/>
      </c>
      <c r="O30" s="37" t="str">
        <f ca="1">IF(OR($B30="",N30=""),"",N30-Methodology!$B$4)</f>
        <v/>
      </c>
      <c r="P30" s="37" t="str">
        <f ca="1">IF($B30="","",INDEX('Risk Register'!$AC$6:$AC$105,$B30))</f>
        <v/>
      </c>
      <c r="Q30" s="44" t="str">
        <f t="shared" ca="1" si="1"/>
        <v/>
      </c>
    </row>
    <row r="31" spans="1:17" x14ac:dyDescent="0.35">
      <c r="A31" s="43">
        <v>25</v>
      </c>
      <c r="B31" s="43" t="str">
        <f ca="1">IFERROR(MATCH($A31,'Risk Register'!$AB$6:$AB$105,0),"")</f>
        <v/>
      </c>
      <c r="C31" s="38" t="str">
        <f ca="1">IF($B31="","",INDEX('Risk Register'!$A$6:$A$105,$B31))</f>
        <v/>
      </c>
      <c r="D31" s="44" t="str">
        <f ca="1">IF($B31="","",INDEX('Risk Register'!$B$6:$B$105,$B31))</f>
        <v/>
      </c>
      <c r="E31" s="38" t="str">
        <f ca="1">IF($B31="","",INDEX('Risk Register'!$D$6:$D$105,$B31))</f>
        <v/>
      </c>
      <c r="F31" s="38" t="str">
        <f ca="1">IF($B31="","",INDEX('Risk Register'!$E$6:$E$105,$B31))</f>
        <v/>
      </c>
      <c r="G31" s="37" t="str">
        <f ca="1">IF($B31="","",INDEX('Risk Register'!$O$6:$O$105,$B31))</f>
        <v/>
      </c>
      <c r="H31" s="37" t="str">
        <f ca="1">IF($B31="","",INDEX('Risk Register'!$S$6:$S$105,$B31))</f>
        <v/>
      </c>
      <c r="I31" s="37" t="str">
        <f ca="1">IF($B31="","",INDEX('Risk Register'!$T$6:$T$105,$B31))</f>
        <v/>
      </c>
      <c r="J31" s="37" t="str">
        <f t="shared" ca="1" si="0"/>
        <v/>
      </c>
      <c r="K31" s="38" t="str">
        <f ca="1">IF($B31="","",INDEX('Risk Register'!$U$6:$U$105,$B31))</f>
        <v/>
      </c>
      <c r="L31" s="38" t="str">
        <f ca="1">IF($B31="","",INDEX('Risk Register'!$Y$6:$Y$105,$B31))</f>
        <v/>
      </c>
      <c r="M31" s="38" t="str">
        <f ca="1">IF(K31="","",INDEX(Methodology!$B$48:$B$50,MATCH(K31,Methodology!$A$48:$A$50,0)))</f>
        <v/>
      </c>
      <c r="N31" s="45" t="str">
        <f ca="1">IF($B31="","",IF(INDEX('Risk Register'!$X$6:$X$105,$B31)="","",INDEX('Risk Register'!$X$6:$X$105,$B31)))</f>
        <v/>
      </c>
      <c r="O31" s="37" t="str">
        <f ca="1">IF(OR($B31="",N31=""),"",N31-Methodology!$B$4)</f>
        <v/>
      </c>
      <c r="P31" s="37" t="str">
        <f ca="1">IF($B31="","",INDEX('Risk Register'!$AC$6:$AC$105,$B31))</f>
        <v/>
      </c>
      <c r="Q31" s="44" t="str">
        <f t="shared" ca="1" si="1"/>
        <v/>
      </c>
    </row>
    <row r="32" spans="1:17" x14ac:dyDescent="0.35">
      <c r="A32" s="43">
        <v>26</v>
      </c>
      <c r="B32" s="43" t="str">
        <f ca="1">IFERROR(MATCH($A32,'Risk Register'!$AB$6:$AB$105,0),"")</f>
        <v/>
      </c>
      <c r="C32" s="38" t="str">
        <f ca="1">IF($B32="","",INDEX('Risk Register'!$A$6:$A$105,$B32))</f>
        <v/>
      </c>
      <c r="D32" s="44" t="str">
        <f ca="1">IF($B32="","",INDEX('Risk Register'!$B$6:$B$105,$B32))</f>
        <v/>
      </c>
      <c r="E32" s="38" t="str">
        <f ca="1">IF($B32="","",INDEX('Risk Register'!$D$6:$D$105,$B32))</f>
        <v/>
      </c>
      <c r="F32" s="38" t="str">
        <f ca="1">IF($B32="","",INDEX('Risk Register'!$E$6:$E$105,$B32))</f>
        <v/>
      </c>
      <c r="G32" s="37" t="str">
        <f ca="1">IF($B32="","",INDEX('Risk Register'!$O$6:$O$105,$B32))</f>
        <v/>
      </c>
      <c r="H32" s="37" t="str">
        <f ca="1">IF($B32="","",INDEX('Risk Register'!$S$6:$S$105,$B32))</f>
        <v/>
      </c>
      <c r="I32" s="37" t="str">
        <f ca="1">IF($B32="","",INDEX('Risk Register'!$T$6:$T$105,$B32))</f>
        <v/>
      </c>
      <c r="J32" s="37" t="str">
        <f t="shared" ca="1" si="0"/>
        <v/>
      </c>
      <c r="K32" s="38" t="str">
        <f ca="1">IF($B32="","",INDEX('Risk Register'!$U$6:$U$105,$B32))</f>
        <v/>
      </c>
      <c r="L32" s="38" t="str">
        <f ca="1">IF($B32="","",INDEX('Risk Register'!$Y$6:$Y$105,$B32))</f>
        <v/>
      </c>
      <c r="M32" s="38" t="str">
        <f ca="1">IF(K32="","",INDEX(Methodology!$B$48:$B$50,MATCH(K32,Methodology!$A$48:$A$50,0)))</f>
        <v/>
      </c>
      <c r="N32" s="45" t="str">
        <f ca="1">IF($B32="","",IF(INDEX('Risk Register'!$X$6:$X$105,$B32)="","",INDEX('Risk Register'!$X$6:$X$105,$B32)))</f>
        <v/>
      </c>
      <c r="O32" s="37" t="str">
        <f ca="1">IF(OR($B32="",N32=""),"",N32-Methodology!$B$4)</f>
        <v/>
      </c>
      <c r="P32" s="37" t="str">
        <f ca="1">IF($B32="","",INDEX('Risk Register'!$AC$6:$AC$105,$B32))</f>
        <v/>
      </c>
      <c r="Q32" s="44" t="str">
        <f t="shared" ca="1" si="1"/>
        <v/>
      </c>
    </row>
    <row r="33" spans="1:17" x14ac:dyDescent="0.35">
      <c r="A33" s="43">
        <v>27</v>
      </c>
      <c r="B33" s="43" t="str">
        <f ca="1">IFERROR(MATCH($A33,'Risk Register'!$AB$6:$AB$105,0),"")</f>
        <v/>
      </c>
      <c r="C33" s="38" t="str">
        <f ca="1">IF($B33="","",INDEX('Risk Register'!$A$6:$A$105,$B33))</f>
        <v/>
      </c>
      <c r="D33" s="44" t="str">
        <f ca="1">IF($B33="","",INDEX('Risk Register'!$B$6:$B$105,$B33))</f>
        <v/>
      </c>
      <c r="E33" s="38" t="str">
        <f ca="1">IF($B33="","",INDEX('Risk Register'!$D$6:$D$105,$B33))</f>
        <v/>
      </c>
      <c r="F33" s="38" t="str">
        <f ca="1">IF($B33="","",INDEX('Risk Register'!$E$6:$E$105,$B33))</f>
        <v/>
      </c>
      <c r="G33" s="37" t="str">
        <f ca="1">IF($B33="","",INDEX('Risk Register'!$O$6:$O$105,$B33))</f>
        <v/>
      </c>
      <c r="H33" s="37" t="str">
        <f ca="1">IF($B33="","",INDEX('Risk Register'!$S$6:$S$105,$B33))</f>
        <v/>
      </c>
      <c r="I33" s="37" t="str">
        <f ca="1">IF($B33="","",INDEX('Risk Register'!$T$6:$T$105,$B33))</f>
        <v/>
      </c>
      <c r="J33" s="37" t="str">
        <f t="shared" ca="1" si="0"/>
        <v/>
      </c>
      <c r="K33" s="38" t="str">
        <f ca="1">IF($B33="","",INDEX('Risk Register'!$U$6:$U$105,$B33))</f>
        <v/>
      </c>
      <c r="L33" s="38" t="str">
        <f ca="1">IF($B33="","",INDEX('Risk Register'!$Y$6:$Y$105,$B33))</f>
        <v/>
      </c>
      <c r="M33" s="38" t="str">
        <f ca="1">IF(K33="","",INDEX(Methodology!$B$48:$B$50,MATCH(K33,Methodology!$A$48:$A$50,0)))</f>
        <v/>
      </c>
      <c r="N33" s="45" t="str">
        <f ca="1">IF($B33="","",IF(INDEX('Risk Register'!$X$6:$X$105,$B33)="","",INDEX('Risk Register'!$X$6:$X$105,$B33)))</f>
        <v/>
      </c>
      <c r="O33" s="37" t="str">
        <f ca="1">IF(OR($B33="",N33=""),"",N33-Methodology!$B$4)</f>
        <v/>
      </c>
      <c r="P33" s="37" t="str">
        <f ca="1">IF($B33="","",INDEX('Risk Register'!$AC$6:$AC$105,$B33))</f>
        <v/>
      </c>
      <c r="Q33" s="44" t="str">
        <f t="shared" ca="1" si="1"/>
        <v/>
      </c>
    </row>
    <row r="34" spans="1:17" x14ac:dyDescent="0.35">
      <c r="A34" s="43">
        <v>28</v>
      </c>
      <c r="B34" s="43" t="str">
        <f ca="1">IFERROR(MATCH($A34,'Risk Register'!$AB$6:$AB$105,0),"")</f>
        <v/>
      </c>
      <c r="C34" s="38" t="str">
        <f ca="1">IF($B34="","",INDEX('Risk Register'!$A$6:$A$105,$B34))</f>
        <v/>
      </c>
      <c r="D34" s="44" t="str">
        <f ca="1">IF($B34="","",INDEX('Risk Register'!$B$6:$B$105,$B34))</f>
        <v/>
      </c>
      <c r="E34" s="38" t="str">
        <f ca="1">IF($B34="","",INDEX('Risk Register'!$D$6:$D$105,$B34))</f>
        <v/>
      </c>
      <c r="F34" s="38" t="str">
        <f ca="1">IF($B34="","",INDEX('Risk Register'!$E$6:$E$105,$B34))</f>
        <v/>
      </c>
      <c r="G34" s="37" t="str">
        <f ca="1">IF($B34="","",INDEX('Risk Register'!$O$6:$O$105,$B34))</f>
        <v/>
      </c>
      <c r="H34" s="37" t="str">
        <f ca="1">IF($B34="","",INDEX('Risk Register'!$S$6:$S$105,$B34))</f>
        <v/>
      </c>
      <c r="I34" s="37" t="str">
        <f ca="1">IF($B34="","",INDEX('Risk Register'!$T$6:$T$105,$B34))</f>
        <v/>
      </c>
      <c r="J34" s="37" t="str">
        <f t="shared" ca="1" si="0"/>
        <v/>
      </c>
      <c r="K34" s="38" t="str">
        <f ca="1">IF($B34="","",INDEX('Risk Register'!$U$6:$U$105,$B34))</f>
        <v/>
      </c>
      <c r="L34" s="38" t="str">
        <f ca="1">IF($B34="","",INDEX('Risk Register'!$Y$6:$Y$105,$B34))</f>
        <v/>
      </c>
      <c r="M34" s="38" t="str">
        <f ca="1">IF(K34="","",INDEX(Methodology!$B$48:$B$50,MATCH(K34,Methodology!$A$48:$A$50,0)))</f>
        <v/>
      </c>
      <c r="N34" s="45" t="str">
        <f ca="1">IF($B34="","",IF(INDEX('Risk Register'!$X$6:$X$105,$B34)="","",INDEX('Risk Register'!$X$6:$X$105,$B34)))</f>
        <v/>
      </c>
      <c r="O34" s="37" t="str">
        <f ca="1">IF(OR($B34="",N34=""),"",N34-Methodology!$B$4)</f>
        <v/>
      </c>
      <c r="P34" s="37" t="str">
        <f ca="1">IF($B34="","",INDEX('Risk Register'!$AC$6:$AC$105,$B34))</f>
        <v/>
      </c>
      <c r="Q34" s="44" t="str">
        <f t="shared" ca="1" si="1"/>
        <v/>
      </c>
    </row>
    <row r="35" spans="1:17" x14ac:dyDescent="0.35">
      <c r="A35" s="43">
        <v>29</v>
      </c>
      <c r="B35" s="43" t="str">
        <f ca="1">IFERROR(MATCH($A35,'Risk Register'!$AB$6:$AB$105,0),"")</f>
        <v/>
      </c>
      <c r="C35" s="38" t="str">
        <f ca="1">IF($B35="","",INDEX('Risk Register'!$A$6:$A$105,$B35))</f>
        <v/>
      </c>
      <c r="D35" s="44" t="str">
        <f ca="1">IF($B35="","",INDEX('Risk Register'!$B$6:$B$105,$B35))</f>
        <v/>
      </c>
      <c r="E35" s="38" t="str">
        <f ca="1">IF($B35="","",INDEX('Risk Register'!$D$6:$D$105,$B35))</f>
        <v/>
      </c>
      <c r="F35" s="38" t="str">
        <f ca="1">IF($B35="","",INDEX('Risk Register'!$E$6:$E$105,$B35))</f>
        <v/>
      </c>
      <c r="G35" s="37" t="str">
        <f ca="1">IF($B35="","",INDEX('Risk Register'!$O$6:$O$105,$B35))</f>
        <v/>
      </c>
      <c r="H35" s="37" t="str">
        <f ca="1">IF($B35="","",INDEX('Risk Register'!$S$6:$S$105,$B35))</f>
        <v/>
      </c>
      <c r="I35" s="37" t="str">
        <f ca="1">IF($B35="","",INDEX('Risk Register'!$T$6:$T$105,$B35))</f>
        <v/>
      </c>
      <c r="J35" s="37" t="str">
        <f t="shared" ca="1" si="0"/>
        <v/>
      </c>
      <c r="K35" s="38" t="str">
        <f ca="1">IF($B35="","",INDEX('Risk Register'!$U$6:$U$105,$B35))</f>
        <v/>
      </c>
      <c r="L35" s="38" t="str">
        <f ca="1">IF($B35="","",INDEX('Risk Register'!$Y$6:$Y$105,$B35))</f>
        <v/>
      </c>
      <c r="M35" s="38" t="str">
        <f ca="1">IF(K35="","",INDEX(Methodology!$B$48:$B$50,MATCH(K35,Methodology!$A$48:$A$50,0)))</f>
        <v/>
      </c>
      <c r="N35" s="45" t="str">
        <f ca="1">IF($B35="","",IF(INDEX('Risk Register'!$X$6:$X$105,$B35)="","",INDEX('Risk Register'!$X$6:$X$105,$B35)))</f>
        <v/>
      </c>
      <c r="O35" s="37" t="str">
        <f ca="1">IF(OR($B35="",N35=""),"",N35-Methodology!$B$4)</f>
        <v/>
      </c>
      <c r="P35" s="37" t="str">
        <f ca="1">IF($B35="","",INDEX('Risk Register'!$AC$6:$AC$105,$B35))</f>
        <v/>
      </c>
      <c r="Q35" s="44" t="str">
        <f t="shared" ca="1" si="1"/>
        <v/>
      </c>
    </row>
    <row r="36" spans="1:17" x14ac:dyDescent="0.35">
      <c r="A36" s="43">
        <v>30</v>
      </c>
      <c r="B36" s="43" t="str">
        <f ca="1">IFERROR(MATCH($A36,'Risk Register'!$AB$6:$AB$105,0),"")</f>
        <v/>
      </c>
      <c r="C36" s="38" t="str">
        <f ca="1">IF($B36="","",INDEX('Risk Register'!$A$6:$A$105,$B36))</f>
        <v/>
      </c>
      <c r="D36" s="44" t="str">
        <f ca="1">IF($B36="","",INDEX('Risk Register'!$B$6:$B$105,$B36))</f>
        <v/>
      </c>
      <c r="E36" s="38" t="str">
        <f ca="1">IF($B36="","",INDEX('Risk Register'!$D$6:$D$105,$B36))</f>
        <v/>
      </c>
      <c r="F36" s="38" t="str">
        <f ca="1">IF($B36="","",INDEX('Risk Register'!$E$6:$E$105,$B36))</f>
        <v/>
      </c>
      <c r="G36" s="37" t="str">
        <f ca="1">IF($B36="","",INDEX('Risk Register'!$O$6:$O$105,$B36))</f>
        <v/>
      </c>
      <c r="H36" s="37" t="str">
        <f ca="1">IF($B36="","",INDEX('Risk Register'!$S$6:$S$105,$B36))</f>
        <v/>
      </c>
      <c r="I36" s="37" t="str">
        <f ca="1">IF($B36="","",INDEX('Risk Register'!$T$6:$T$105,$B36))</f>
        <v/>
      </c>
      <c r="J36" s="37" t="str">
        <f t="shared" ca="1" si="0"/>
        <v/>
      </c>
      <c r="K36" s="38" t="str">
        <f ca="1">IF($B36="","",INDEX('Risk Register'!$U$6:$U$105,$B36))</f>
        <v/>
      </c>
      <c r="L36" s="38" t="str">
        <f ca="1">IF($B36="","",INDEX('Risk Register'!$Y$6:$Y$105,$B36))</f>
        <v/>
      </c>
      <c r="M36" s="38" t="str">
        <f ca="1">IF(K36="","",INDEX(Methodology!$B$48:$B$50,MATCH(K36,Methodology!$A$48:$A$50,0)))</f>
        <v/>
      </c>
      <c r="N36" s="45" t="str">
        <f ca="1">IF($B36="","",IF(INDEX('Risk Register'!$X$6:$X$105,$B36)="","",INDEX('Risk Register'!$X$6:$X$105,$B36)))</f>
        <v/>
      </c>
      <c r="O36" s="37" t="str">
        <f ca="1">IF(OR($B36="",N36=""),"",N36-Methodology!$B$4)</f>
        <v/>
      </c>
      <c r="P36" s="37" t="str">
        <f ca="1">IF($B36="","",INDEX('Risk Register'!$AC$6:$AC$105,$B36))</f>
        <v/>
      </c>
      <c r="Q36" s="44" t="str">
        <f t="shared" ca="1" si="1"/>
        <v/>
      </c>
    </row>
    <row r="37" spans="1:17" x14ac:dyDescent="0.35">
      <c r="A37" s="43">
        <v>31</v>
      </c>
      <c r="B37" s="43" t="str">
        <f ca="1">IFERROR(MATCH($A37,'Risk Register'!$AB$6:$AB$105,0),"")</f>
        <v/>
      </c>
      <c r="C37" s="38" t="str">
        <f ca="1">IF($B37="","",INDEX('Risk Register'!$A$6:$A$105,$B37))</f>
        <v/>
      </c>
      <c r="D37" s="44" t="str">
        <f ca="1">IF($B37="","",INDEX('Risk Register'!$B$6:$B$105,$B37))</f>
        <v/>
      </c>
      <c r="E37" s="38" t="str">
        <f ca="1">IF($B37="","",INDEX('Risk Register'!$D$6:$D$105,$B37))</f>
        <v/>
      </c>
      <c r="F37" s="38" t="str">
        <f ca="1">IF($B37="","",INDEX('Risk Register'!$E$6:$E$105,$B37))</f>
        <v/>
      </c>
      <c r="G37" s="37" t="str">
        <f ca="1">IF($B37="","",INDEX('Risk Register'!$O$6:$O$105,$B37))</f>
        <v/>
      </c>
      <c r="H37" s="37" t="str">
        <f ca="1">IF($B37="","",INDEX('Risk Register'!$S$6:$S$105,$B37))</f>
        <v/>
      </c>
      <c r="I37" s="37" t="str">
        <f ca="1">IF($B37="","",INDEX('Risk Register'!$T$6:$T$105,$B37))</f>
        <v/>
      </c>
      <c r="J37" s="37" t="str">
        <f t="shared" ca="1" si="0"/>
        <v/>
      </c>
      <c r="K37" s="38" t="str">
        <f ca="1">IF($B37="","",INDEX('Risk Register'!$U$6:$U$105,$B37))</f>
        <v/>
      </c>
      <c r="L37" s="38" t="str">
        <f ca="1">IF($B37="","",INDEX('Risk Register'!$Y$6:$Y$105,$B37))</f>
        <v/>
      </c>
      <c r="M37" s="38" t="str">
        <f ca="1">IF(K37="","",INDEX(Methodology!$B$48:$B$50,MATCH(K37,Methodology!$A$48:$A$50,0)))</f>
        <v/>
      </c>
      <c r="N37" s="45" t="str">
        <f ca="1">IF($B37="","",IF(INDEX('Risk Register'!$X$6:$X$105,$B37)="","",INDEX('Risk Register'!$X$6:$X$105,$B37)))</f>
        <v/>
      </c>
      <c r="O37" s="37" t="str">
        <f ca="1">IF(OR($B37="",N37=""),"",N37-Methodology!$B$4)</f>
        <v/>
      </c>
      <c r="P37" s="37" t="str">
        <f ca="1">IF($B37="","",INDEX('Risk Register'!$AC$6:$AC$105,$B37))</f>
        <v/>
      </c>
      <c r="Q37" s="44" t="str">
        <f t="shared" ca="1" si="1"/>
        <v/>
      </c>
    </row>
    <row r="38" spans="1:17" x14ac:dyDescent="0.35">
      <c r="A38" s="43">
        <v>32</v>
      </c>
      <c r="B38" s="43" t="str">
        <f ca="1">IFERROR(MATCH($A38,'Risk Register'!$AB$6:$AB$105,0),"")</f>
        <v/>
      </c>
      <c r="C38" s="38" t="str">
        <f ca="1">IF($B38="","",INDEX('Risk Register'!$A$6:$A$105,$B38))</f>
        <v/>
      </c>
      <c r="D38" s="44" t="str">
        <f ca="1">IF($B38="","",INDEX('Risk Register'!$B$6:$B$105,$B38))</f>
        <v/>
      </c>
      <c r="E38" s="38" t="str">
        <f ca="1">IF($B38="","",INDEX('Risk Register'!$D$6:$D$105,$B38))</f>
        <v/>
      </c>
      <c r="F38" s="38" t="str">
        <f ca="1">IF($B38="","",INDEX('Risk Register'!$E$6:$E$105,$B38))</f>
        <v/>
      </c>
      <c r="G38" s="37" t="str">
        <f ca="1">IF($B38="","",INDEX('Risk Register'!$O$6:$O$105,$B38))</f>
        <v/>
      </c>
      <c r="H38" s="37" t="str">
        <f ca="1">IF($B38="","",INDEX('Risk Register'!$S$6:$S$105,$B38))</f>
        <v/>
      </c>
      <c r="I38" s="37" t="str">
        <f ca="1">IF($B38="","",INDEX('Risk Register'!$T$6:$T$105,$B38))</f>
        <v/>
      </c>
      <c r="J38" s="37" t="str">
        <f t="shared" ca="1" si="0"/>
        <v/>
      </c>
      <c r="K38" s="38" t="str">
        <f ca="1">IF($B38="","",INDEX('Risk Register'!$U$6:$U$105,$B38))</f>
        <v/>
      </c>
      <c r="L38" s="38" t="str">
        <f ca="1">IF($B38="","",INDEX('Risk Register'!$Y$6:$Y$105,$B38))</f>
        <v/>
      </c>
      <c r="M38" s="38" t="str">
        <f ca="1">IF(K38="","",INDEX(Methodology!$B$48:$B$50,MATCH(K38,Methodology!$A$48:$A$50,0)))</f>
        <v/>
      </c>
      <c r="N38" s="45" t="str">
        <f ca="1">IF($B38="","",IF(INDEX('Risk Register'!$X$6:$X$105,$B38)="","",INDEX('Risk Register'!$X$6:$X$105,$B38)))</f>
        <v/>
      </c>
      <c r="O38" s="37" t="str">
        <f ca="1">IF(OR($B38="",N38=""),"",N38-Methodology!$B$4)</f>
        <v/>
      </c>
      <c r="P38" s="37" t="str">
        <f ca="1">IF($B38="","",INDEX('Risk Register'!$AC$6:$AC$105,$B38))</f>
        <v/>
      </c>
      <c r="Q38" s="44" t="str">
        <f t="shared" ca="1" si="1"/>
        <v/>
      </c>
    </row>
    <row r="39" spans="1:17" x14ac:dyDescent="0.35">
      <c r="A39" s="43">
        <v>33</v>
      </c>
      <c r="B39" s="43" t="str">
        <f ca="1">IFERROR(MATCH($A39,'Risk Register'!$AB$6:$AB$105,0),"")</f>
        <v/>
      </c>
      <c r="C39" s="38" t="str">
        <f ca="1">IF($B39="","",INDEX('Risk Register'!$A$6:$A$105,$B39))</f>
        <v/>
      </c>
      <c r="D39" s="44" t="str">
        <f ca="1">IF($B39="","",INDEX('Risk Register'!$B$6:$B$105,$B39))</f>
        <v/>
      </c>
      <c r="E39" s="38" t="str">
        <f ca="1">IF($B39="","",INDEX('Risk Register'!$D$6:$D$105,$B39))</f>
        <v/>
      </c>
      <c r="F39" s="38" t="str">
        <f ca="1">IF($B39="","",INDEX('Risk Register'!$E$6:$E$105,$B39))</f>
        <v/>
      </c>
      <c r="G39" s="37" t="str">
        <f ca="1">IF($B39="","",INDEX('Risk Register'!$O$6:$O$105,$B39))</f>
        <v/>
      </c>
      <c r="H39" s="37" t="str">
        <f ca="1">IF($B39="","",INDEX('Risk Register'!$S$6:$S$105,$B39))</f>
        <v/>
      </c>
      <c r="I39" s="37" t="str">
        <f ca="1">IF($B39="","",INDEX('Risk Register'!$T$6:$T$105,$B39))</f>
        <v/>
      </c>
      <c r="J39" s="37" t="str">
        <f t="shared" ref="J39:J70" ca="1" si="2">IF($B39="","",G39-H39)</f>
        <v/>
      </c>
      <c r="K39" s="38" t="str">
        <f ca="1">IF($B39="","",INDEX('Risk Register'!$U$6:$U$105,$B39))</f>
        <v/>
      </c>
      <c r="L39" s="38" t="str">
        <f ca="1">IF($B39="","",INDEX('Risk Register'!$Y$6:$Y$105,$B39))</f>
        <v/>
      </c>
      <c r="M39" s="38" t="str">
        <f ca="1">IF(K39="","",INDEX(Methodology!$B$48:$B$50,MATCH(K39,Methodology!$A$48:$A$50,0)))</f>
        <v/>
      </c>
      <c r="N39" s="45" t="str">
        <f ca="1">IF($B39="","",IF(INDEX('Risk Register'!$X$6:$X$105,$B39)="","",INDEX('Risk Register'!$X$6:$X$105,$B39)))</f>
        <v/>
      </c>
      <c r="O39" s="37" t="str">
        <f ca="1">IF(OR($B39="",N39=""),"",N39-Methodology!$B$4)</f>
        <v/>
      </c>
      <c r="P39" s="37" t="str">
        <f ca="1">IF($B39="","",INDEX('Risk Register'!$AC$6:$AC$105,$B39))</f>
        <v/>
      </c>
      <c r="Q39" s="44" t="str">
        <f t="shared" ref="Q39:Q70" ca="1" si="3">IF($B39="","",IF(L39="Breach - not accepted",IF(P39=0,"Escalate to "&amp;M39&amp;"; no treatment action or acceptance recorded","Escalate to "&amp;M39&amp;"; track treatment actions"),IF(L39="Acceptance expired - breach open","Acceptance lapsed: re-approve or treat",IF(L39="Accepted - expiry not set","Set an acceptance expiry date","Accepted: monitor to expiry and keep treating where practical"))))</f>
        <v/>
      </c>
    </row>
    <row r="40" spans="1:17" x14ac:dyDescent="0.35">
      <c r="A40" s="43">
        <v>34</v>
      </c>
      <c r="B40" s="43" t="str">
        <f ca="1">IFERROR(MATCH($A40,'Risk Register'!$AB$6:$AB$105,0),"")</f>
        <v/>
      </c>
      <c r="C40" s="38" t="str">
        <f ca="1">IF($B40="","",INDEX('Risk Register'!$A$6:$A$105,$B40))</f>
        <v/>
      </c>
      <c r="D40" s="44" t="str">
        <f ca="1">IF($B40="","",INDEX('Risk Register'!$B$6:$B$105,$B40))</f>
        <v/>
      </c>
      <c r="E40" s="38" t="str">
        <f ca="1">IF($B40="","",INDEX('Risk Register'!$D$6:$D$105,$B40))</f>
        <v/>
      </c>
      <c r="F40" s="38" t="str">
        <f ca="1">IF($B40="","",INDEX('Risk Register'!$E$6:$E$105,$B40))</f>
        <v/>
      </c>
      <c r="G40" s="37" t="str">
        <f ca="1">IF($B40="","",INDEX('Risk Register'!$O$6:$O$105,$B40))</f>
        <v/>
      </c>
      <c r="H40" s="37" t="str">
        <f ca="1">IF($B40="","",INDEX('Risk Register'!$S$6:$S$105,$B40))</f>
        <v/>
      </c>
      <c r="I40" s="37" t="str">
        <f ca="1">IF($B40="","",INDEX('Risk Register'!$T$6:$T$105,$B40))</f>
        <v/>
      </c>
      <c r="J40" s="37" t="str">
        <f t="shared" ca="1" si="2"/>
        <v/>
      </c>
      <c r="K40" s="38" t="str">
        <f ca="1">IF($B40="","",INDEX('Risk Register'!$U$6:$U$105,$B40))</f>
        <v/>
      </c>
      <c r="L40" s="38" t="str">
        <f ca="1">IF($B40="","",INDEX('Risk Register'!$Y$6:$Y$105,$B40))</f>
        <v/>
      </c>
      <c r="M40" s="38" t="str">
        <f ca="1">IF(K40="","",INDEX(Methodology!$B$48:$B$50,MATCH(K40,Methodology!$A$48:$A$50,0)))</f>
        <v/>
      </c>
      <c r="N40" s="45" t="str">
        <f ca="1">IF($B40="","",IF(INDEX('Risk Register'!$X$6:$X$105,$B40)="","",INDEX('Risk Register'!$X$6:$X$105,$B40)))</f>
        <v/>
      </c>
      <c r="O40" s="37" t="str">
        <f ca="1">IF(OR($B40="",N40=""),"",N40-Methodology!$B$4)</f>
        <v/>
      </c>
      <c r="P40" s="37" t="str">
        <f ca="1">IF($B40="","",INDEX('Risk Register'!$AC$6:$AC$105,$B40))</f>
        <v/>
      </c>
      <c r="Q40" s="44" t="str">
        <f t="shared" ca="1" si="3"/>
        <v/>
      </c>
    </row>
    <row r="41" spans="1:17" x14ac:dyDescent="0.35">
      <c r="A41" s="43">
        <v>35</v>
      </c>
      <c r="B41" s="43" t="str">
        <f ca="1">IFERROR(MATCH($A41,'Risk Register'!$AB$6:$AB$105,0),"")</f>
        <v/>
      </c>
      <c r="C41" s="38" t="str">
        <f ca="1">IF($B41="","",INDEX('Risk Register'!$A$6:$A$105,$B41))</f>
        <v/>
      </c>
      <c r="D41" s="44" t="str">
        <f ca="1">IF($B41="","",INDEX('Risk Register'!$B$6:$B$105,$B41))</f>
        <v/>
      </c>
      <c r="E41" s="38" t="str">
        <f ca="1">IF($B41="","",INDEX('Risk Register'!$D$6:$D$105,$B41))</f>
        <v/>
      </c>
      <c r="F41" s="38" t="str">
        <f ca="1">IF($B41="","",INDEX('Risk Register'!$E$6:$E$105,$B41))</f>
        <v/>
      </c>
      <c r="G41" s="37" t="str">
        <f ca="1">IF($B41="","",INDEX('Risk Register'!$O$6:$O$105,$B41))</f>
        <v/>
      </c>
      <c r="H41" s="37" t="str">
        <f ca="1">IF($B41="","",INDEX('Risk Register'!$S$6:$S$105,$B41))</f>
        <v/>
      </c>
      <c r="I41" s="37" t="str">
        <f ca="1">IF($B41="","",INDEX('Risk Register'!$T$6:$T$105,$B41))</f>
        <v/>
      </c>
      <c r="J41" s="37" t="str">
        <f t="shared" ca="1" si="2"/>
        <v/>
      </c>
      <c r="K41" s="38" t="str">
        <f ca="1">IF($B41="","",INDEX('Risk Register'!$U$6:$U$105,$B41))</f>
        <v/>
      </c>
      <c r="L41" s="38" t="str">
        <f ca="1">IF($B41="","",INDEX('Risk Register'!$Y$6:$Y$105,$B41))</f>
        <v/>
      </c>
      <c r="M41" s="38" t="str">
        <f ca="1">IF(K41="","",INDEX(Methodology!$B$48:$B$50,MATCH(K41,Methodology!$A$48:$A$50,0)))</f>
        <v/>
      </c>
      <c r="N41" s="45" t="str">
        <f ca="1">IF($B41="","",IF(INDEX('Risk Register'!$X$6:$X$105,$B41)="","",INDEX('Risk Register'!$X$6:$X$105,$B41)))</f>
        <v/>
      </c>
      <c r="O41" s="37" t="str">
        <f ca="1">IF(OR($B41="",N41=""),"",N41-Methodology!$B$4)</f>
        <v/>
      </c>
      <c r="P41" s="37" t="str">
        <f ca="1">IF($B41="","",INDEX('Risk Register'!$AC$6:$AC$105,$B41))</f>
        <v/>
      </c>
      <c r="Q41" s="44" t="str">
        <f t="shared" ca="1" si="3"/>
        <v/>
      </c>
    </row>
    <row r="42" spans="1:17" x14ac:dyDescent="0.35">
      <c r="A42" s="43">
        <v>36</v>
      </c>
      <c r="B42" s="43" t="str">
        <f ca="1">IFERROR(MATCH($A42,'Risk Register'!$AB$6:$AB$105,0),"")</f>
        <v/>
      </c>
      <c r="C42" s="38" t="str">
        <f ca="1">IF($B42="","",INDEX('Risk Register'!$A$6:$A$105,$B42))</f>
        <v/>
      </c>
      <c r="D42" s="44" t="str">
        <f ca="1">IF($B42="","",INDEX('Risk Register'!$B$6:$B$105,$B42))</f>
        <v/>
      </c>
      <c r="E42" s="38" t="str">
        <f ca="1">IF($B42="","",INDEX('Risk Register'!$D$6:$D$105,$B42))</f>
        <v/>
      </c>
      <c r="F42" s="38" t="str">
        <f ca="1">IF($B42="","",INDEX('Risk Register'!$E$6:$E$105,$B42))</f>
        <v/>
      </c>
      <c r="G42" s="37" t="str">
        <f ca="1">IF($B42="","",INDEX('Risk Register'!$O$6:$O$105,$B42))</f>
        <v/>
      </c>
      <c r="H42" s="37" t="str">
        <f ca="1">IF($B42="","",INDEX('Risk Register'!$S$6:$S$105,$B42))</f>
        <v/>
      </c>
      <c r="I42" s="37" t="str">
        <f ca="1">IF($B42="","",INDEX('Risk Register'!$T$6:$T$105,$B42))</f>
        <v/>
      </c>
      <c r="J42" s="37" t="str">
        <f t="shared" ca="1" si="2"/>
        <v/>
      </c>
      <c r="K42" s="38" t="str">
        <f ca="1">IF($B42="","",INDEX('Risk Register'!$U$6:$U$105,$B42))</f>
        <v/>
      </c>
      <c r="L42" s="38" t="str">
        <f ca="1">IF($B42="","",INDEX('Risk Register'!$Y$6:$Y$105,$B42))</f>
        <v/>
      </c>
      <c r="M42" s="38" t="str">
        <f ca="1">IF(K42="","",INDEX(Methodology!$B$48:$B$50,MATCH(K42,Methodology!$A$48:$A$50,0)))</f>
        <v/>
      </c>
      <c r="N42" s="45" t="str">
        <f ca="1">IF($B42="","",IF(INDEX('Risk Register'!$X$6:$X$105,$B42)="","",INDEX('Risk Register'!$X$6:$X$105,$B42)))</f>
        <v/>
      </c>
      <c r="O42" s="37" t="str">
        <f ca="1">IF(OR($B42="",N42=""),"",N42-Methodology!$B$4)</f>
        <v/>
      </c>
      <c r="P42" s="37" t="str">
        <f ca="1">IF($B42="","",INDEX('Risk Register'!$AC$6:$AC$105,$B42))</f>
        <v/>
      </c>
      <c r="Q42" s="44" t="str">
        <f t="shared" ca="1" si="3"/>
        <v/>
      </c>
    </row>
    <row r="43" spans="1:17" x14ac:dyDescent="0.35">
      <c r="A43" s="43">
        <v>37</v>
      </c>
      <c r="B43" s="43" t="str">
        <f ca="1">IFERROR(MATCH($A43,'Risk Register'!$AB$6:$AB$105,0),"")</f>
        <v/>
      </c>
      <c r="C43" s="38" t="str">
        <f ca="1">IF($B43="","",INDEX('Risk Register'!$A$6:$A$105,$B43))</f>
        <v/>
      </c>
      <c r="D43" s="44" t="str">
        <f ca="1">IF($B43="","",INDEX('Risk Register'!$B$6:$B$105,$B43))</f>
        <v/>
      </c>
      <c r="E43" s="38" t="str">
        <f ca="1">IF($B43="","",INDEX('Risk Register'!$D$6:$D$105,$B43))</f>
        <v/>
      </c>
      <c r="F43" s="38" t="str">
        <f ca="1">IF($B43="","",INDEX('Risk Register'!$E$6:$E$105,$B43))</f>
        <v/>
      </c>
      <c r="G43" s="37" t="str">
        <f ca="1">IF($B43="","",INDEX('Risk Register'!$O$6:$O$105,$B43))</f>
        <v/>
      </c>
      <c r="H43" s="37" t="str">
        <f ca="1">IF($B43="","",INDEX('Risk Register'!$S$6:$S$105,$B43))</f>
        <v/>
      </c>
      <c r="I43" s="37" t="str">
        <f ca="1">IF($B43="","",INDEX('Risk Register'!$T$6:$T$105,$B43))</f>
        <v/>
      </c>
      <c r="J43" s="37" t="str">
        <f t="shared" ca="1" si="2"/>
        <v/>
      </c>
      <c r="K43" s="38" t="str">
        <f ca="1">IF($B43="","",INDEX('Risk Register'!$U$6:$U$105,$B43))</f>
        <v/>
      </c>
      <c r="L43" s="38" t="str">
        <f ca="1">IF($B43="","",INDEX('Risk Register'!$Y$6:$Y$105,$B43))</f>
        <v/>
      </c>
      <c r="M43" s="38" t="str">
        <f ca="1">IF(K43="","",INDEX(Methodology!$B$48:$B$50,MATCH(K43,Methodology!$A$48:$A$50,0)))</f>
        <v/>
      </c>
      <c r="N43" s="45" t="str">
        <f ca="1">IF($B43="","",IF(INDEX('Risk Register'!$X$6:$X$105,$B43)="","",INDEX('Risk Register'!$X$6:$X$105,$B43)))</f>
        <v/>
      </c>
      <c r="O43" s="37" t="str">
        <f ca="1">IF(OR($B43="",N43=""),"",N43-Methodology!$B$4)</f>
        <v/>
      </c>
      <c r="P43" s="37" t="str">
        <f ca="1">IF($B43="","",INDEX('Risk Register'!$AC$6:$AC$105,$B43))</f>
        <v/>
      </c>
      <c r="Q43" s="44" t="str">
        <f t="shared" ca="1" si="3"/>
        <v/>
      </c>
    </row>
    <row r="44" spans="1:17" x14ac:dyDescent="0.35">
      <c r="A44" s="43">
        <v>38</v>
      </c>
      <c r="B44" s="43" t="str">
        <f ca="1">IFERROR(MATCH($A44,'Risk Register'!$AB$6:$AB$105,0),"")</f>
        <v/>
      </c>
      <c r="C44" s="38" t="str">
        <f ca="1">IF($B44="","",INDEX('Risk Register'!$A$6:$A$105,$B44))</f>
        <v/>
      </c>
      <c r="D44" s="44" t="str">
        <f ca="1">IF($B44="","",INDEX('Risk Register'!$B$6:$B$105,$B44))</f>
        <v/>
      </c>
      <c r="E44" s="38" t="str">
        <f ca="1">IF($B44="","",INDEX('Risk Register'!$D$6:$D$105,$B44))</f>
        <v/>
      </c>
      <c r="F44" s="38" t="str">
        <f ca="1">IF($B44="","",INDEX('Risk Register'!$E$6:$E$105,$B44))</f>
        <v/>
      </c>
      <c r="G44" s="37" t="str">
        <f ca="1">IF($B44="","",INDEX('Risk Register'!$O$6:$O$105,$B44))</f>
        <v/>
      </c>
      <c r="H44" s="37" t="str">
        <f ca="1">IF($B44="","",INDEX('Risk Register'!$S$6:$S$105,$B44))</f>
        <v/>
      </c>
      <c r="I44" s="37" t="str">
        <f ca="1">IF($B44="","",INDEX('Risk Register'!$T$6:$T$105,$B44))</f>
        <v/>
      </c>
      <c r="J44" s="37" t="str">
        <f t="shared" ca="1" si="2"/>
        <v/>
      </c>
      <c r="K44" s="38" t="str">
        <f ca="1">IF($B44="","",INDEX('Risk Register'!$U$6:$U$105,$B44))</f>
        <v/>
      </c>
      <c r="L44" s="38" t="str">
        <f ca="1">IF($B44="","",INDEX('Risk Register'!$Y$6:$Y$105,$B44))</f>
        <v/>
      </c>
      <c r="M44" s="38" t="str">
        <f ca="1">IF(K44="","",INDEX(Methodology!$B$48:$B$50,MATCH(K44,Methodology!$A$48:$A$50,0)))</f>
        <v/>
      </c>
      <c r="N44" s="45" t="str">
        <f ca="1">IF($B44="","",IF(INDEX('Risk Register'!$X$6:$X$105,$B44)="","",INDEX('Risk Register'!$X$6:$X$105,$B44)))</f>
        <v/>
      </c>
      <c r="O44" s="37" t="str">
        <f ca="1">IF(OR($B44="",N44=""),"",N44-Methodology!$B$4)</f>
        <v/>
      </c>
      <c r="P44" s="37" t="str">
        <f ca="1">IF($B44="","",INDEX('Risk Register'!$AC$6:$AC$105,$B44))</f>
        <v/>
      </c>
      <c r="Q44" s="44" t="str">
        <f t="shared" ca="1" si="3"/>
        <v/>
      </c>
    </row>
    <row r="45" spans="1:17" x14ac:dyDescent="0.35">
      <c r="A45" s="43">
        <v>39</v>
      </c>
      <c r="B45" s="43" t="str">
        <f ca="1">IFERROR(MATCH($A45,'Risk Register'!$AB$6:$AB$105,0),"")</f>
        <v/>
      </c>
      <c r="C45" s="38" t="str">
        <f ca="1">IF($B45="","",INDEX('Risk Register'!$A$6:$A$105,$B45))</f>
        <v/>
      </c>
      <c r="D45" s="44" t="str">
        <f ca="1">IF($B45="","",INDEX('Risk Register'!$B$6:$B$105,$B45))</f>
        <v/>
      </c>
      <c r="E45" s="38" t="str">
        <f ca="1">IF($B45="","",INDEX('Risk Register'!$D$6:$D$105,$B45))</f>
        <v/>
      </c>
      <c r="F45" s="38" t="str">
        <f ca="1">IF($B45="","",INDEX('Risk Register'!$E$6:$E$105,$B45))</f>
        <v/>
      </c>
      <c r="G45" s="37" t="str">
        <f ca="1">IF($B45="","",INDEX('Risk Register'!$O$6:$O$105,$B45))</f>
        <v/>
      </c>
      <c r="H45" s="37" t="str">
        <f ca="1">IF($B45="","",INDEX('Risk Register'!$S$6:$S$105,$B45))</f>
        <v/>
      </c>
      <c r="I45" s="37" t="str">
        <f ca="1">IF($B45="","",INDEX('Risk Register'!$T$6:$T$105,$B45))</f>
        <v/>
      </c>
      <c r="J45" s="37" t="str">
        <f t="shared" ca="1" si="2"/>
        <v/>
      </c>
      <c r="K45" s="38" t="str">
        <f ca="1">IF($B45="","",INDEX('Risk Register'!$U$6:$U$105,$B45))</f>
        <v/>
      </c>
      <c r="L45" s="38" t="str">
        <f ca="1">IF($B45="","",INDEX('Risk Register'!$Y$6:$Y$105,$B45))</f>
        <v/>
      </c>
      <c r="M45" s="38" t="str">
        <f ca="1">IF(K45="","",INDEX(Methodology!$B$48:$B$50,MATCH(K45,Methodology!$A$48:$A$50,0)))</f>
        <v/>
      </c>
      <c r="N45" s="45" t="str">
        <f ca="1">IF($B45="","",IF(INDEX('Risk Register'!$X$6:$X$105,$B45)="","",INDEX('Risk Register'!$X$6:$X$105,$B45)))</f>
        <v/>
      </c>
      <c r="O45" s="37" t="str">
        <f ca="1">IF(OR($B45="",N45=""),"",N45-Methodology!$B$4)</f>
        <v/>
      </c>
      <c r="P45" s="37" t="str">
        <f ca="1">IF($B45="","",INDEX('Risk Register'!$AC$6:$AC$105,$B45))</f>
        <v/>
      </c>
      <c r="Q45" s="44" t="str">
        <f t="shared" ca="1" si="3"/>
        <v/>
      </c>
    </row>
    <row r="46" spans="1:17" x14ac:dyDescent="0.35">
      <c r="A46" s="43">
        <v>40</v>
      </c>
      <c r="B46" s="43" t="str">
        <f ca="1">IFERROR(MATCH($A46,'Risk Register'!$AB$6:$AB$105,0),"")</f>
        <v/>
      </c>
      <c r="C46" s="38" t="str">
        <f ca="1">IF($B46="","",INDEX('Risk Register'!$A$6:$A$105,$B46))</f>
        <v/>
      </c>
      <c r="D46" s="44" t="str">
        <f ca="1">IF($B46="","",INDEX('Risk Register'!$B$6:$B$105,$B46))</f>
        <v/>
      </c>
      <c r="E46" s="38" t="str">
        <f ca="1">IF($B46="","",INDEX('Risk Register'!$D$6:$D$105,$B46))</f>
        <v/>
      </c>
      <c r="F46" s="38" t="str">
        <f ca="1">IF($B46="","",INDEX('Risk Register'!$E$6:$E$105,$B46))</f>
        <v/>
      </c>
      <c r="G46" s="37" t="str">
        <f ca="1">IF($B46="","",INDEX('Risk Register'!$O$6:$O$105,$B46))</f>
        <v/>
      </c>
      <c r="H46" s="37" t="str">
        <f ca="1">IF($B46="","",INDEX('Risk Register'!$S$6:$S$105,$B46))</f>
        <v/>
      </c>
      <c r="I46" s="37" t="str">
        <f ca="1">IF($B46="","",INDEX('Risk Register'!$T$6:$T$105,$B46))</f>
        <v/>
      </c>
      <c r="J46" s="37" t="str">
        <f t="shared" ca="1" si="2"/>
        <v/>
      </c>
      <c r="K46" s="38" t="str">
        <f ca="1">IF($B46="","",INDEX('Risk Register'!$U$6:$U$105,$B46))</f>
        <v/>
      </c>
      <c r="L46" s="38" t="str">
        <f ca="1">IF($B46="","",INDEX('Risk Register'!$Y$6:$Y$105,$B46))</f>
        <v/>
      </c>
      <c r="M46" s="38" t="str">
        <f ca="1">IF(K46="","",INDEX(Methodology!$B$48:$B$50,MATCH(K46,Methodology!$A$48:$A$50,0)))</f>
        <v/>
      </c>
      <c r="N46" s="45" t="str">
        <f ca="1">IF($B46="","",IF(INDEX('Risk Register'!$X$6:$X$105,$B46)="","",INDEX('Risk Register'!$X$6:$X$105,$B46)))</f>
        <v/>
      </c>
      <c r="O46" s="37" t="str">
        <f ca="1">IF(OR($B46="",N46=""),"",N46-Methodology!$B$4)</f>
        <v/>
      </c>
      <c r="P46" s="37" t="str">
        <f ca="1">IF($B46="","",INDEX('Risk Register'!$AC$6:$AC$105,$B46))</f>
        <v/>
      </c>
      <c r="Q46" s="44" t="str">
        <f t="shared" ca="1" si="3"/>
        <v/>
      </c>
    </row>
    <row r="47" spans="1:17" x14ac:dyDescent="0.35">
      <c r="A47" s="43">
        <v>41</v>
      </c>
      <c r="B47" s="43" t="str">
        <f ca="1">IFERROR(MATCH($A47,'Risk Register'!$AB$6:$AB$105,0),"")</f>
        <v/>
      </c>
      <c r="C47" s="38" t="str">
        <f ca="1">IF($B47="","",INDEX('Risk Register'!$A$6:$A$105,$B47))</f>
        <v/>
      </c>
      <c r="D47" s="44" t="str">
        <f ca="1">IF($B47="","",INDEX('Risk Register'!$B$6:$B$105,$B47))</f>
        <v/>
      </c>
      <c r="E47" s="38" t="str">
        <f ca="1">IF($B47="","",INDEX('Risk Register'!$D$6:$D$105,$B47))</f>
        <v/>
      </c>
      <c r="F47" s="38" t="str">
        <f ca="1">IF($B47="","",INDEX('Risk Register'!$E$6:$E$105,$B47))</f>
        <v/>
      </c>
      <c r="G47" s="37" t="str">
        <f ca="1">IF($B47="","",INDEX('Risk Register'!$O$6:$O$105,$B47))</f>
        <v/>
      </c>
      <c r="H47" s="37" t="str">
        <f ca="1">IF($B47="","",INDEX('Risk Register'!$S$6:$S$105,$B47))</f>
        <v/>
      </c>
      <c r="I47" s="37" t="str">
        <f ca="1">IF($B47="","",INDEX('Risk Register'!$T$6:$T$105,$B47))</f>
        <v/>
      </c>
      <c r="J47" s="37" t="str">
        <f t="shared" ca="1" si="2"/>
        <v/>
      </c>
      <c r="K47" s="38" t="str">
        <f ca="1">IF($B47="","",INDEX('Risk Register'!$U$6:$U$105,$B47))</f>
        <v/>
      </c>
      <c r="L47" s="38" t="str">
        <f ca="1">IF($B47="","",INDEX('Risk Register'!$Y$6:$Y$105,$B47))</f>
        <v/>
      </c>
      <c r="M47" s="38" t="str">
        <f ca="1">IF(K47="","",INDEX(Methodology!$B$48:$B$50,MATCH(K47,Methodology!$A$48:$A$50,0)))</f>
        <v/>
      </c>
      <c r="N47" s="45" t="str">
        <f ca="1">IF($B47="","",IF(INDEX('Risk Register'!$X$6:$X$105,$B47)="","",INDEX('Risk Register'!$X$6:$X$105,$B47)))</f>
        <v/>
      </c>
      <c r="O47" s="37" t="str">
        <f ca="1">IF(OR($B47="",N47=""),"",N47-Methodology!$B$4)</f>
        <v/>
      </c>
      <c r="P47" s="37" t="str">
        <f ca="1">IF($B47="","",INDEX('Risk Register'!$AC$6:$AC$105,$B47))</f>
        <v/>
      </c>
      <c r="Q47" s="44" t="str">
        <f t="shared" ca="1" si="3"/>
        <v/>
      </c>
    </row>
    <row r="48" spans="1:17" x14ac:dyDescent="0.35">
      <c r="A48" s="43">
        <v>42</v>
      </c>
      <c r="B48" s="43" t="str">
        <f ca="1">IFERROR(MATCH($A48,'Risk Register'!$AB$6:$AB$105,0),"")</f>
        <v/>
      </c>
      <c r="C48" s="38" t="str">
        <f ca="1">IF($B48="","",INDEX('Risk Register'!$A$6:$A$105,$B48))</f>
        <v/>
      </c>
      <c r="D48" s="44" t="str">
        <f ca="1">IF($B48="","",INDEX('Risk Register'!$B$6:$B$105,$B48))</f>
        <v/>
      </c>
      <c r="E48" s="38" t="str">
        <f ca="1">IF($B48="","",INDEX('Risk Register'!$D$6:$D$105,$B48))</f>
        <v/>
      </c>
      <c r="F48" s="38" t="str">
        <f ca="1">IF($B48="","",INDEX('Risk Register'!$E$6:$E$105,$B48))</f>
        <v/>
      </c>
      <c r="G48" s="37" t="str">
        <f ca="1">IF($B48="","",INDEX('Risk Register'!$O$6:$O$105,$B48))</f>
        <v/>
      </c>
      <c r="H48" s="37" t="str">
        <f ca="1">IF($B48="","",INDEX('Risk Register'!$S$6:$S$105,$B48))</f>
        <v/>
      </c>
      <c r="I48" s="37" t="str">
        <f ca="1">IF($B48="","",INDEX('Risk Register'!$T$6:$T$105,$B48))</f>
        <v/>
      </c>
      <c r="J48" s="37" t="str">
        <f t="shared" ca="1" si="2"/>
        <v/>
      </c>
      <c r="K48" s="38" t="str">
        <f ca="1">IF($B48="","",INDEX('Risk Register'!$U$6:$U$105,$B48))</f>
        <v/>
      </c>
      <c r="L48" s="38" t="str">
        <f ca="1">IF($B48="","",INDEX('Risk Register'!$Y$6:$Y$105,$B48))</f>
        <v/>
      </c>
      <c r="M48" s="38" t="str">
        <f ca="1">IF(K48="","",INDEX(Methodology!$B$48:$B$50,MATCH(K48,Methodology!$A$48:$A$50,0)))</f>
        <v/>
      </c>
      <c r="N48" s="45" t="str">
        <f ca="1">IF($B48="","",IF(INDEX('Risk Register'!$X$6:$X$105,$B48)="","",INDEX('Risk Register'!$X$6:$X$105,$B48)))</f>
        <v/>
      </c>
      <c r="O48" s="37" t="str">
        <f ca="1">IF(OR($B48="",N48=""),"",N48-Methodology!$B$4)</f>
        <v/>
      </c>
      <c r="P48" s="37" t="str">
        <f ca="1">IF($B48="","",INDEX('Risk Register'!$AC$6:$AC$105,$B48))</f>
        <v/>
      </c>
      <c r="Q48" s="44" t="str">
        <f t="shared" ca="1" si="3"/>
        <v/>
      </c>
    </row>
    <row r="49" spans="1:17" x14ac:dyDescent="0.35">
      <c r="A49" s="43">
        <v>43</v>
      </c>
      <c r="B49" s="43" t="str">
        <f ca="1">IFERROR(MATCH($A49,'Risk Register'!$AB$6:$AB$105,0),"")</f>
        <v/>
      </c>
      <c r="C49" s="38" t="str">
        <f ca="1">IF($B49="","",INDEX('Risk Register'!$A$6:$A$105,$B49))</f>
        <v/>
      </c>
      <c r="D49" s="44" t="str">
        <f ca="1">IF($B49="","",INDEX('Risk Register'!$B$6:$B$105,$B49))</f>
        <v/>
      </c>
      <c r="E49" s="38" t="str">
        <f ca="1">IF($B49="","",INDEX('Risk Register'!$D$6:$D$105,$B49))</f>
        <v/>
      </c>
      <c r="F49" s="38" t="str">
        <f ca="1">IF($B49="","",INDEX('Risk Register'!$E$6:$E$105,$B49))</f>
        <v/>
      </c>
      <c r="G49" s="37" t="str">
        <f ca="1">IF($B49="","",INDEX('Risk Register'!$O$6:$O$105,$B49))</f>
        <v/>
      </c>
      <c r="H49" s="37" t="str">
        <f ca="1">IF($B49="","",INDEX('Risk Register'!$S$6:$S$105,$B49))</f>
        <v/>
      </c>
      <c r="I49" s="37" t="str">
        <f ca="1">IF($B49="","",INDEX('Risk Register'!$T$6:$T$105,$B49))</f>
        <v/>
      </c>
      <c r="J49" s="37" t="str">
        <f t="shared" ca="1" si="2"/>
        <v/>
      </c>
      <c r="K49" s="38" t="str">
        <f ca="1">IF($B49="","",INDEX('Risk Register'!$U$6:$U$105,$B49))</f>
        <v/>
      </c>
      <c r="L49" s="38" t="str">
        <f ca="1">IF($B49="","",INDEX('Risk Register'!$Y$6:$Y$105,$B49))</f>
        <v/>
      </c>
      <c r="M49" s="38" t="str">
        <f ca="1">IF(K49="","",INDEX(Methodology!$B$48:$B$50,MATCH(K49,Methodology!$A$48:$A$50,0)))</f>
        <v/>
      </c>
      <c r="N49" s="45" t="str">
        <f ca="1">IF($B49="","",IF(INDEX('Risk Register'!$X$6:$X$105,$B49)="","",INDEX('Risk Register'!$X$6:$X$105,$B49)))</f>
        <v/>
      </c>
      <c r="O49" s="37" t="str">
        <f ca="1">IF(OR($B49="",N49=""),"",N49-Methodology!$B$4)</f>
        <v/>
      </c>
      <c r="P49" s="37" t="str">
        <f ca="1">IF($B49="","",INDEX('Risk Register'!$AC$6:$AC$105,$B49))</f>
        <v/>
      </c>
      <c r="Q49" s="44" t="str">
        <f t="shared" ca="1" si="3"/>
        <v/>
      </c>
    </row>
    <row r="50" spans="1:17" x14ac:dyDescent="0.35">
      <c r="A50" s="43">
        <v>44</v>
      </c>
      <c r="B50" s="43" t="str">
        <f ca="1">IFERROR(MATCH($A50,'Risk Register'!$AB$6:$AB$105,0),"")</f>
        <v/>
      </c>
      <c r="C50" s="38" t="str">
        <f ca="1">IF($B50="","",INDEX('Risk Register'!$A$6:$A$105,$B50))</f>
        <v/>
      </c>
      <c r="D50" s="44" t="str">
        <f ca="1">IF($B50="","",INDEX('Risk Register'!$B$6:$B$105,$B50))</f>
        <v/>
      </c>
      <c r="E50" s="38" t="str">
        <f ca="1">IF($B50="","",INDEX('Risk Register'!$D$6:$D$105,$B50))</f>
        <v/>
      </c>
      <c r="F50" s="38" t="str">
        <f ca="1">IF($B50="","",INDEX('Risk Register'!$E$6:$E$105,$B50))</f>
        <v/>
      </c>
      <c r="G50" s="37" t="str">
        <f ca="1">IF($B50="","",INDEX('Risk Register'!$O$6:$O$105,$B50))</f>
        <v/>
      </c>
      <c r="H50" s="37" t="str">
        <f ca="1">IF($B50="","",INDEX('Risk Register'!$S$6:$S$105,$B50))</f>
        <v/>
      </c>
      <c r="I50" s="37" t="str">
        <f ca="1">IF($B50="","",INDEX('Risk Register'!$T$6:$T$105,$B50))</f>
        <v/>
      </c>
      <c r="J50" s="37" t="str">
        <f t="shared" ca="1" si="2"/>
        <v/>
      </c>
      <c r="K50" s="38" t="str">
        <f ca="1">IF($B50="","",INDEX('Risk Register'!$U$6:$U$105,$B50))</f>
        <v/>
      </c>
      <c r="L50" s="38" t="str">
        <f ca="1">IF($B50="","",INDEX('Risk Register'!$Y$6:$Y$105,$B50))</f>
        <v/>
      </c>
      <c r="M50" s="38" t="str">
        <f ca="1">IF(K50="","",INDEX(Methodology!$B$48:$B$50,MATCH(K50,Methodology!$A$48:$A$50,0)))</f>
        <v/>
      </c>
      <c r="N50" s="45" t="str">
        <f ca="1">IF($B50="","",IF(INDEX('Risk Register'!$X$6:$X$105,$B50)="","",INDEX('Risk Register'!$X$6:$X$105,$B50)))</f>
        <v/>
      </c>
      <c r="O50" s="37" t="str">
        <f ca="1">IF(OR($B50="",N50=""),"",N50-Methodology!$B$4)</f>
        <v/>
      </c>
      <c r="P50" s="37" t="str">
        <f ca="1">IF($B50="","",INDEX('Risk Register'!$AC$6:$AC$105,$B50))</f>
        <v/>
      </c>
      <c r="Q50" s="44" t="str">
        <f t="shared" ca="1" si="3"/>
        <v/>
      </c>
    </row>
    <row r="51" spans="1:17" x14ac:dyDescent="0.35">
      <c r="A51" s="43">
        <v>45</v>
      </c>
      <c r="B51" s="43" t="str">
        <f ca="1">IFERROR(MATCH($A51,'Risk Register'!$AB$6:$AB$105,0),"")</f>
        <v/>
      </c>
      <c r="C51" s="38" t="str">
        <f ca="1">IF($B51="","",INDEX('Risk Register'!$A$6:$A$105,$B51))</f>
        <v/>
      </c>
      <c r="D51" s="44" t="str">
        <f ca="1">IF($B51="","",INDEX('Risk Register'!$B$6:$B$105,$B51))</f>
        <v/>
      </c>
      <c r="E51" s="38" t="str">
        <f ca="1">IF($B51="","",INDEX('Risk Register'!$D$6:$D$105,$B51))</f>
        <v/>
      </c>
      <c r="F51" s="38" t="str">
        <f ca="1">IF($B51="","",INDEX('Risk Register'!$E$6:$E$105,$B51))</f>
        <v/>
      </c>
      <c r="G51" s="37" t="str">
        <f ca="1">IF($B51="","",INDEX('Risk Register'!$O$6:$O$105,$B51))</f>
        <v/>
      </c>
      <c r="H51" s="37" t="str">
        <f ca="1">IF($B51="","",INDEX('Risk Register'!$S$6:$S$105,$B51))</f>
        <v/>
      </c>
      <c r="I51" s="37" t="str">
        <f ca="1">IF($B51="","",INDEX('Risk Register'!$T$6:$T$105,$B51))</f>
        <v/>
      </c>
      <c r="J51" s="37" t="str">
        <f t="shared" ca="1" si="2"/>
        <v/>
      </c>
      <c r="K51" s="38" t="str">
        <f ca="1">IF($B51="","",INDEX('Risk Register'!$U$6:$U$105,$B51))</f>
        <v/>
      </c>
      <c r="L51" s="38" t="str">
        <f ca="1">IF($B51="","",INDEX('Risk Register'!$Y$6:$Y$105,$B51))</f>
        <v/>
      </c>
      <c r="M51" s="38" t="str">
        <f ca="1">IF(K51="","",INDEX(Methodology!$B$48:$B$50,MATCH(K51,Methodology!$A$48:$A$50,0)))</f>
        <v/>
      </c>
      <c r="N51" s="45" t="str">
        <f ca="1">IF($B51="","",IF(INDEX('Risk Register'!$X$6:$X$105,$B51)="","",INDEX('Risk Register'!$X$6:$X$105,$B51)))</f>
        <v/>
      </c>
      <c r="O51" s="37" t="str">
        <f ca="1">IF(OR($B51="",N51=""),"",N51-Methodology!$B$4)</f>
        <v/>
      </c>
      <c r="P51" s="37" t="str">
        <f ca="1">IF($B51="","",INDEX('Risk Register'!$AC$6:$AC$105,$B51))</f>
        <v/>
      </c>
      <c r="Q51" s="44" t="str">
        <f t="shared" ca="1" si="3"/>
        <v/>
      </c>
    </row>
    <row r="52" spans="1:17" x14ac:dyDescent="0.35">
      <c r="A52" s="43">
        <v>46</v>
      </c>
      <c r="B52" s="43" t="str">
        <f ca="1">IFERROR(MATCH($A52,'Risk Register'!$AB$6:$AB$105,0),"")</f>
        <v/>
      </c>
      <c r="C52" s="38" t="str">
        <f ca="1">IF($B52="","",INDEX('Risk Register'!$A$6:$A$105,$B52))</f>
        <v/>
      </c>
      <c r="D52" s="44" t="str">
        <f ca="1">IF($B52="","",INDEX('Risk Register'!$B$6:$B$105,$B52))</f>
        <v/>
      </c>
      <c r="E52" s="38" t="str">
        <f ca="1">IF($B52="","",INDEX('Risk Register'!$D$6:$D$105,$B52))</f>
        <v/>
      </c>
      <c r="F52" s="38" t="str">
        <f ca="1">IF($B52="","",INDEX('Risk Register'!$E$6:$E$105,$B52))</f>
        <v/>
      </c>
      <c r="G52" s="37" t="str">
        <f ca="1">IF($B52="","",INDEX('Risk Register'!$O$6:$O$105,$B52))</f>
        <v/>
      </c>
      <c r="H52" s="37" t="str">
        <f ca="1">IF($B52="","",INDEX('Risk Register'!$S$6:$S$105,$B52))</f>
        <v/>
      </c>
      <c r="I52" s="37" t="str">
        <f ca="1">IF($B52="","",INDEX('Risk Register'!$T$6:$T$105,$B52))</f>
        <v/>
      </c>
      <c r="J52" s="37" t="str">
        <f t="shared" ca="1" si="2"/>
        <v/>
      </c>
      <c r="K52" s="38" t="str">
        <f ca="1">IF($B52="","",INDEX('Risk Register'!$U$6:$U$105,$B52))</f>
        <v/>
      </c>
      <c r="L52" s="38" t="str">
        <f ca="1">IF($B52="","",INDEX('Risk Register'!$Y$6:$Y$105,$B52))</f>
        <v/>
      </c>
      <c r="M52" s="38" t="str">
        <f ca="1">IF(K52="","",INDEX(Methodology!$B$48:$B$50,MATCH(K52,Methodology!$A$48:$A$50,0)))</f>
        <v/>
      </c>
      <c r="N52" s="45" t="str">
        <f ca="1">IF($B52="","",IF(INDEX('Risk Register'!$X$6:$X$105,$B52)="","",INDEX('Risk Register'!$X$6:$X$105,$B52)))</f>
        <v/>
      </c>
      <c r="O52" s="37" t="str">
        <f ca="1">IF(OR($B52="",N52=""),"",N52-Methodology!$B$4)</f>
        <v/>
      </c>
      <c r="P52" s="37" t="str">
        <f ca="1">IF($B52="","",INDEX('Risk Register'!$AC$6:$AC$105,$B52))</f>
        <v/>
      </c>
      <c r="Q52" s="44" t="str">
        <f t="shared" ca="1" si="3"/>
        <v/>
      </c>
    </row>
    <row r="53" spans="1:17" x14ac:dyDescent="0.35">
      <c r="A53" s="43">
        <v>47</v>
      </c>
      <c r="B53" s="43" t="str">
        <f ca="1">IFERROR(MATCH($A53,'Risk Register'!$AB$6:$AB$105,0),"")</f>
        <v/>
      </c>
      <c r="C53" s="38" t="str">
        <f ca="1">IF($B53="","",INDEX('Risk Register'!$A$6:$A$105,$B53))</f>
        <v/>
      </c>
      <c r="D53" s="44" t="str">
        <f ca="1">IF($B53="","",INDEX('Risk Register'!$B$6:$B$105,$B53))</f>
        <v/>
      </c>
      <c r="E53" s="38" t="str">
        <f ca="1">IF($B53="","",INDEX('Risk Register'!$D$6:$D$105,$B53))</f>
        <v/>
      </c>
      <c r="F53" s="38" t="str">
        <f ca="1">IF($B53="","",INDEX('Risk Register'!$E$6:$E$105,$B53))</f>
        <v/>
      </c>
      <c r="G53" s="37" t="str">
        <f ca="1">IF($B53="","",INDEX('Risk Register'!$O$6:$O$105,$B53))</f>
        <v/>
      </c>
      <c r="H53" s="37" t="str">
        <f ca="1">IF($B53="","",INDEX('Risk Register'!$S$6:$S$105,$B53))</f>
        <v/>
      </c>
      <c r="I53" s="37" t="str">
        <f ca="1">IF($B53="","",INDEX('Risk Register'!$T$6:$T$105,$B53))</f>
        <v/>
      </c>
      <c r="J53" s="37" t="str">
        <f t="shared" ca="1" si="2"/>
        <v/>
      </c>
      <c r="K53" s="38" t="str">
        <f ca="1">IF($B53="","",INDEX('Risk Register'!$U$6:$U$105,$B53))</f>
        <v/>
      </c>
      <c r="L53" s="38" t="str">
        <f ca="1">IF($B53="","",INDEX('Risk Register'!$Y$6:$Y$105,$B53))</f>
        <v/>
      </c>
      <c r="M53" s="38" t="str">
        <f ca="1">IF(K53="","",INDEX(Methodology!$B$48:$B$50,MATCH(K53,Methodology!$A$48:$A$50,0)))</f>
        <v/>
      </c>
      <c r="N53" s="45" t="str">
        <f ca="1">IF($B53="","",IF(INDEX('Risk Register'!$X$6:$X$105,$B53)="","",INDEX('Risk Register'!$X$6:$X$105,$B53)))</f>
        <v/>
      </c>
      <c r="O53" s="37" t="str">
        <f ca="1">IF(OR($B53="",N53=""),"",N53-Methodology!$B$4)</f>
        <v/>
      </c>
      <c r="P53" s="37" t="str">
        <f ca="1">IF($B53="","",INDEX('Risk Register'!$AC$6:$AC$105,$B53))</f>
        <v/>
      </c>
      <c r="Q53" s="44" t="str">
        <f t="shared" ca="1" si="3"/>
        <v/>
      </c>
    </row>
    <row r="54" spans="1:17" x14ac:dyDescent="0.35">
      <c r="A54" s="43">
        <v>48</v>
      </c>
      <c r="B54" s="43" t="str">
        <f ca="1">IFERROR(MATCH($A54,'Risk Register'!$AB$6:$AB$105,0),"")</f>
        <v/>
      </c>
      <c r="C54" s="38" t="str">
        <f ca="1">IF($B54="","",INDEX('Risk Register'!$A$6:$A$105,$B54))</f>
        <v/>
      </c>
      <c r="D54" s="44" t="str">
        <f ca="1">IF($B54="","",INDEX('Risk Register'!$B$6:$B$105,$B54))</f>
        <v/>
      </c>
      <c r="E54" s="38" t="str">
        <f ca="1">IF($B54="","",INDEX('Risk Register'!$D$6:$D$105,$B54))</f>
        <v/>
      </c>
      <c r="F54" s="38" t="str">
        <f ca="1">IF($B54="","",INDEX('Risk Register'!$E$6:$E$105,$B54))</f>
        <v/>
      </c>
      <c r="G54" s="37" t="str">
        <f ca="1">IF($B54="","",INDEX('Risk Register'!$O$6:$O$105,$B54))</f>
        <v/>
      </c>
      <c r="H54" s="37" t="str">
        <f ca="1">IF($B54="","",INDEX('Risk Register'!$S$6:$S$105,$B54))</f>
        <v/>
      </c>
      <c r="I54" s="37" t="str">
        <f ca="1">IF($B54="","",INDEX('Risk Register'!$T$6:$T$105,$B54))</f>
        <v/>
      </c>
      <c r="J54" s="37" t="str">
        <f t="shared" ca="1" si="2"/>
        <v/>
      </c>
      <c r="K54" s="38" t="str">
        <f ca="1">IF($B54="","",INDEX('Risk Register'!$U$6:$U$105,$B54))</f>
        <v/>
      </c>
      <c r="L54" s="38" t="str">
        <f ca="1">IF($B54="","",INDEX('Risk Register'!$Y$6:$Y$105,$B54))</f>
        <v/>
      </c>
      <c r="M54" s="38" t="str">
        <f ca="1">IF(K54="","",INDEX(Methodology!$B$48:$B$50,MATCH(K54,Methodology!$A$48:$A$50,0)))</f>
        <v/>
      </c>
      <c r="N54" s="45" t="str">
        <f ca="1">IF($B54="","",IF(INDEX('Risk Register'!$X$6:$X$105,$B54)="","",INDEX('Risk Register'!$X$6:$X$105,$B54)))</f>
        <v/>
      </c>
      <c r="O54" s="37" t="str">
        <f ca="1">IF(OR($B54="",N54=""),"",N54-Methodology!$B$4)</f>
        <v/>
      </c>
      <c r="P54" s="37" t="str">
        <f ca="1">IF($B54="","",INDEX('Risk Register'!$AC$6:$AC$105,$B54))</f>
        <v/>
      </c>
      <c r="Q54" s="44" t="str">
        <f t="shared" ca="1" si="3"/>
        <v/>
      </c>
    </row>
    <row r="55" spans="1:17" x14ac:dyDescent="0.35">
      <c r="A55" s="43">
        <v>49</v>
      </c>
      <c r="B55" s="43" t="str">
        <f ca="1">IFERROR(MATCH($A55,'Risk Register'!$AB$6:$AB$105,0),"")</f>
        <v/>
      </c>
      <c r="C55" s="38" t="str">
        <f ca="1">IF($B55="","",INDEX('Risk Register'!$A$6:$A$105,$B55))</f>
        <v/>
      </c>
      <c r="D55" s="44" t="str">
        <f ca="1">IF($B55="","",INDEX('Risk Register'!$B$6:$B$105,$B55))</f>
        <v/>
      </c>
      <c r="E55" s="38" t="str">
        <f ca="1">IF($B55="","",INDEX('Risk Register'!$D$6:$D$105,$B55))</f>
        <v/>
      </c>
      <c r="F55" s="38" t="str">
        <f ca="1">IF($B55="","",INDEX('Risk Register'!$E$6:$E$105,$B55))</f>
        <v/>
      </c>
      <c r="G55" s="37" t="str">
        <f ca="1">IF($B55="","",INDEX('Risk Register'!$O$6:$O$105,$B55))</f>
        <v/>
      </c>
      <c r="H55" s="37" t="str">
        <f ca="1">IF($B55="","",INDEX('Risk Register'!$S$6:$S$105,$B55))</f>
        <v/>
      </c>
      <c r="I55" s="37" t="str">
        <f ca="1">IF($B55="","",INDEX('Risk Register'!$T$6:$T$105,$B55))</f>
        <v/>
      </c>
      <c r="J55" s="37" t="str">
        <f t="shared" ca="1" si="2"/>
        <v/>
      </c>
      <c r="K55" s="38" t="str">
        <f ca="1">IF($B55="","",INDEX('Risk Register'!$U$6:$U$105,$B55))</f>
        <v/>
      </c>
      <c r="L55" s="38" t="str">
        <f ca="1">IF($B55="","",INDEX('Risk Register'!$Y$6:$Y$105,$B55))</f>
        <v/>
      </c>
      <c r="M55" s="38" t="str">
        <f ca="1">IF(K55="","",INDEX(Methodology!$B$48:$B$50,MATCH(K55,Methodology!$A$48:$A$50,0)))</f>
        <v/>
      </c>
      <c r="N55" s="45" t="str">
        <f ca="1">IF($B55="","",IF(INDEX('Risk Register'!$X$6:$X$105,$B55)="","",INDEX('Risk Register'!$X$6:$X$105,$B55)))</f>
        <v/>
      </c>
      <c r="O55" s="37" t="str">
        <f ca="1">IF(OR($B55="",N55=""),"",N55-Methodology!$B$4)</f>
        <v/>
      </c>
      <c r="P55" s="37" t="str">
        <f ca="1">IF($B55="","",INDEX('Risk Register'!$AC$6:$AC$105,$B55))</f>
        <v/>
      </c>
      <c r="Q55" s="44" t="str">
        <f t="shared" ca="1" si="3"/>
        <v/>
      </c>
    </row>
    <row r="56" spans="1:17" x14ac:dyDescent="0.35">
      <c r="A56" s="43">
        <v>50</v>
      </c>
      <c r="B56" s="43" t="str">
        <f ca="1">IFERROR(MATCH($A56,'Risk Register'!$AB$6:$AB$105,0),"")</f>
        <v/>
      </c>
      <c r="C56" s="38" t="str">
        <f ca="1">IF($B56="","",INDEX('Risk Register'!$A$6:$A$105,$B56))</f>
        <v/>
      </c>
      <c r="D56" s="44" t="str">
        <f ca="1">IF($B56="","",INDEX('Risk Register'!$B$6:$B$105,$B56))</f>
        <v/>
      </c>
      <c r="E56" s="38" t="str">
        <f ca="1">IF($B56="","",INDEX('Risk Register'!$D$6:$D$105,$B56))</f>
        <v/>
      </c>
      <c r="F56" s="38" t="str">
        <f ca="1">IF($B56="","",INDEX('Risk Register'!$E$6:$E$105,$B56))</f>
        <v/>
      </c>
      <c r="G56" s="37" t="str">
        <f ca="1">IF($B56="","",INDEX('Risk Register'!$O$6:$O$105,$B56))</f>
        <v/>
      </c>
      <c r="H56" s="37" t="str">
        <f ca="1">IF($B56="","",INDEX('Risk Register'!$S$6:$S$105,$B56))</f>
        <v/>
      </c>
      <c r="I56" s="37" t="str">
        <f ca="1">IF($B56="","",INDEX('Risk Register'!$T$6:$T$105,$B56))</f>
        <v/>
      </c>
      <c r="J56" s="37" t="str">
        <f t="shared" ca="1" si="2"/>
        <v/>
      </c>
      <c r="K56" s="38" t="str">
        <f ca="1">IF($B56="","",INDEX('Risk Register'!$U$6:$U$105,$B56))</f>
        <v/>
      </c>
      <c r="L56" s="38" t="str">
        <f ca="1">IF($B56="","",INDEX('Risk Register'!$Y$6:$Y$105,$B56))</f>
        <v/>
      </c>
      <c r="M56" s="38" t="str">
        <f ca="1">IF(K56="","",INDEX(Methodology!$B$48:$B$50,MATCH(K56,Methodology!$A$48:$A$50,0)))</f>
        <v/>
      </c>
      <c r="N56" s="45" t="str">
        <f ca="1">IF($B56="","",IF(INDEX('Risk Register'!$X$6:$X$105,$B56)="","",INDEX('Risk Register'!$X$6:$X$105,$B56)))</f>
        <v/>
      </c>
      <c r="O56" s="37" t="str">
        <f ca="1">IF(OR($B56="",N56=""),"",N56-Methodology!$B$4)</f>
        <v/>
      </c>
      <c r="P56" s="37" t="str">
        <f ca="1">IF($B56="","",INDEX('Risk Register'!$AC$6:$AC$105,$B56))</f>
        <v/>
      </c>
      <c r="Q56" s="44" t="str">
        <f t="shared" ca="1" si="3"/>
        <v/>
      </c>
    </row>
    <row r="57" spans="1:17" x14ac:dyDescent="0.35">
      <c r="A57" s="43">
        <v>51</v>
      </c>
      <c r="B57" s="43" t="str">
        <f ca="1">IFERROR(MATCH($A57,'Risk Register'!$AB$6:$AB$105,0),"")</f>
        <v/>
      </c>
      <c r="C57" s="38" t="str">
        <f ca="1">IF($B57="","",INDEX('Risk Register'!$A$6:$A$105,$B57))</f>
        <v/>
      </c>
      <c r="D57" s="44" t="str">
        <f ca="1">IF($B57="","",INDEX('Risk Register'!$B$6:$B$105,$B57))</f>
        <v/>
      </c>
      <c r="E57" s="38" t="str">
        <f ca="1">IF($B57="","",INDEX('Risk Register'!$D$6:$D$105,$B57))</f>
        <v/>
      </c>
      <c r="F57" s="38" t="str">
        <f ca="1">IF($B57="","",INDEX('Risk Register'!$E$6:$E$105,$B57))</f>
        <v/>
      </c>
      <c r="G57" s="37" t="str">
        <f ca="1">IF($B57="","",INDEX('Risk Register'!$O$6:$O$105,$B57))</f>
        <v/>
      </c>
      <c r="H57" s="37" t="str">
        <f ca="1">IF($B57="","",INDEX('Risk Register'!$S$6:$S$105,$B57))</f>
        <v/>
      </c>
      <c r="I57" s="37" t="str">
        <f ca="1">IF($B57="","",INDEX('Risk Register'!$T$6:$T$105,$B57))</f>
        <v/>
      </c>
      <c r="J57" s="37" t="str">
        <f t="shared" ca="1" si="2"/>
        <v/>
      </c>
      <c r="K57" s="38" t="str">
        <f ca="1">IF($B57="","",INDEX('Risk Register'!$U$6:$U$105,$B57))</f>
        <v/>
      </c>
      <c r="L57" s="38" t="str">
        <f ca="1">IF($B57="","",INDEX('Risk Register'!$Y$6:$Y$105,$B57))</f>
        <v/>
      </c>
      <c r="M57" s="38" t="str">
        <f ca="1">IF(K57="","",INDEX(Methodology!$B$48:$B$50,MATCH(K57,Methodology!$A$48:$A$50,0)))</f>
        <v/>
      </c>
      <c r="N57" s="45" t="str">
        <f ca="1">IF($B57="","",IF(INDEX('Risk Register'!$X$6:$X$105,$B57)="","",INDEX('Risk Register'!$X$6:$X$105,$B57)))</f>
        <v/>
      </c>
      <c r="O57" s="37" t="str">
        <f ca="1">IF(OR($B57="",N57=""),"",N57-Methodology!$B$4)</f>
        <v/>
      </c>
      <c r="P57" s="37" t="str">
        <f ca="1">IF($B57="","",INDEX('Risk Register'!$AC$6:$AC$105,$B57))</f>
        <v/>
      </c>
      <c r="Q57" s="44" t="str">
        <f t="shared" ca="1" si="3"/>
        <v/>
      </c>
    </row>
    <row r="58" spans="1:17" x14ac:dyDescent="0.35">
      <c r="A58" s="43">
        <v>52</v>
      </c>
      <c r="B58" s="43" t="str">
        <f ca="1">IFERROR(MATCH($A58,'Risk Register'!$AB$6:$AB$105,0),"")</f>
        <v/>
      </c>
      <c r="C58" s="38" t="str">
        <f ca="1">IF($B58="","",INDEX('Risk Register'!$A$6:$A$105,$B58))</f>
        <v/>
      </c>
      <c r="D58" s="44" t="str">
        <f ca="1">IF($B58="","",INDEX('Risk Register'!$B$6:$B$105,$B58))</f>
        <v/>
      </c>
      <c r="E58" s="38" t="str">
        <f ca="1">IF($B58="","",INDEX('Risk Register'!$D$6:$D$105,$B58))</f>
        <v/>
      </c>
      <c r="F58" s="38" t="str">
        <f ca="1">IF($B58="","",INDEX('Risk Register'!$E$6:$E$105,$B58))</f>
        <v/>
      </c>
      <c r="G58" s="37" t="str">
        <f ca="1">IF($B58="","",INDEX('Risk Register'!$O$6:$O$105,$B58))</f>
        <v/>
      </c>
      <c r="H58" s="37" t="str">
        <f ca="1">IF($B58="","",INDEX('Risk Register'!$S$6:$S$105,$B58))</f>
        <v/>
      </c>
      <c r="I58" s="37" t="str">
        <f ca="1">IF($B58="","",INDEX('Risk Register'!$T$6:$T$105,$B58))</f>
        <v/>
      </c>
      <c r="J58" s="37" t="str">
        <f t="shared" ca="1" si="2"/>
        <v/>
      </c>
      <c r="K58" s="38" t="str">
        <f ca="1">IF($B58="","",INDEX('Risk Register'!$U$6:$U$105,$B58))</f>
        <v/>
      </c>
      <c r="L58" s="38" t="str">
        <f ca="1">IF($B58="","",INDEX('Risk Register'!$Y$6:$Y$105,$B58))</f>
        <v/>
      </c>
      <c r="M58" s="38" t="str">
        <f ca="1">IF(K58="","",INDEX(Methodology!$B$48:$B$50,MATCH(K58,Methodology!$A$48:$A$50,0)))</f>
        <v/>
      </c>
      <c r="N58" s="45" t="str">
        <f ca="1">IF($B58="","",IF(INDEX('Risk Register'!$X$6:$X$105,$B58)="","",INDEX('Risk Register'!$X$6:$X$105,$B58)))</f>
        <v/>
      </c>
      <c r="O58" s="37" t="str">
        <f ca="1">IF(OR($B58="",N58=""),"",N58-Methodology!$B$4)</f>
        <v/>
      </c>
      <c r="P58" s="37" t="str">
        <f ca="1">IF($B58="","",INDEX('Risk Register'!$AC$6:$AC$105,$B58))</f>
        <v/>
      </c>
      <c r="Q58" s="44" t="str">
        <f t="shared" ca="1" si="3"/>
        <v/>
      </c>
    </row>
    <row r="59" spans="1:17" x14ac:dyDescent="0.35">
      <c r="A59" s="43">
        <v>53</v>
      </c>
      <c r="B59" s="43" t="str">
        <f ca="1">IFERROR(MATCH($A59,'Risk Register'!$AB$6:$AB$105,0),"")</f>
        <v/>
      </c>
      <c r="C59" s="38" t="str">
        <f ca="1">IF($B59="","",INDEX('Risk Register'!$A$6:$A$105,$B59))</f>
        <v/>
      </c>
      <c r="D59" s="44" t="str">
        <f ca="1">IF($B59="","",INDEX('Risk Register'!$B$6:$B$105,$B59))</f>
        <v/>
      </c>
      <c r="E59" s="38" t="str">
        <f ca="1">IF($B59="","",INDEX('Risk Register'!$D$6:$D$105,$B59))</f>
        <v/>
      </c>
      <c r="F59" s="38" t="str">
        <f ca="1">IF($B59="","",INDEX('Risk Register'!$E$6:$E$105,$B59))</f>
        <v/>
      </c>
      <c r="G59" s="37" t="str">
        <f ca="1">IF($B59="","",INDEX('Risk Register'!$O$6:$O$105,$B59))</f>
        <v/>
      </c>
      <c r="H59" s="37" t="str">
        <f ca="1">IF($B59="","",INDEX('Risk Register'!$S$6:$S$105,$B59))</f>
        <v/>
      </c>
      <c r="I59" s="37" t="str">
        <f ca="1">IF($B59="","",INDEX('Risk Register'!$T$6:$T$105,$B59))</f>
        <v/>
      </c>
      <c r="J59" s="37" t="str">
        <f t="shared" ca="1" si="2"/>
        <v/>
      </c>
      <c r="K59" s="38" t="str">
        <f ca="1">IF($B59="","",INDEX('Risk Register'!$U$6:$U$105,$B59))</f>
        <v/>
      </c>
      <c r="L59" s="38" t="str">
        <f ca="1">IF($B59="","",INDEX('Risk Register'!$Y$6:$Y$105,$B59))</f>
        <v/>
      </c>
      <c r="M59" s="38" t="str">
        <f ca="1">IF(K59="","",INDEX(Methodology!$B$48:$B$50,MATCH(K59,Methodology!$A$48:$A$50,0)))</f>
        <v/>
      </c>
      <c r="N59" s="45" t="str">
        <f ca="1">IF($B59="","",IF(INDEX('Risk Register'!$X$6:$X$105,$B59)="","",INDEX('Risk Register'!$X$6:$X$105,$B59)))</f>
        <v/>
      </c>
      <c r="O59" s="37" t="str">
        <f ca="1">IF(OR($B59="",N59=""),"",N59-Methodology!$B$4)</f>
        <v/>
      </c>
      <c r="P59" s="37" t="str">
        <f ca="1">IF($B59="","",INDEX('Risk Register'!$AC$6:$AC$105,$B59))</f>
        <v/>
      </c>
      <c r="Q59" s="44" t="str">
        <f t="shared" ca="1" si="3"/>
        <v/>
      </c>
    </row>
    <row r="60" spans="1:17" x14ac:dyDescent="0.35">
      <c r="A60" s="43">
        <v>54</v>
      </c>
      <c r="B60" s="43" t="str">
        <f ca="1">IFERROR(MATCH($A60,'Risk Register'!$AB$6:$AB$105,0),"")</f>
        <v/>
      </c>
      <c r="C60" s="38" t="str">
        <f ca="1">IF($B60="","",INDEX('Risk Register'!$A$6:$A$105,$B60))</f>
        <v/>
      </c>
      <c r="D60" s="44" t="str">
        <f ca="1">IF($B60="","",INDEX('Risk Register'!$B$6:$B$105,$B60))</f>
        <v/>
      </c>
      <c r="E60" s="38" t="str">
        <f ca="1">IF($B60="","",INDEX('Risk Register'!$D$6:$D$105,$B60))</f>
        <v/>
      </c>
      <c r="F60" s="38" t="str">
        <f ca="1">IF($B60="","",INDEX('Risk Register'!$E$6:$E$105,$B60))</f>
        <v/>
      </c>
      <c r="G60" s="37" t="str">
        <f ca="1">IF($B60="","",INDEX('Risk Register'!$O$6:$O$105,$B60))</f>
        <v/>
      </c>
      <c r="H60" s="37" t="str">
        <f ca="1">IF($B60="","",INDEX('Risk Register'!$S$6:$S$105,$B60))</f>
        <v/>
      </c>
      <c r="I60" s="37" t="str">
        <f ca="1">IF($B60="","",INDEX('Risk Register'!$T$6:$T$105,$B60))</f>
        <v/>
      </c>
      <c r="J60" s="37" t="str">
        <f t="shared" ca="1" si="2"/>
        <v/>
      </c>
      <c r="K60" s="38" t="str">
        <f ca="1">IF($B60="","",INDEX('Risk Register'!$U$6:$U$105,$B60))</f>
        <v/>
      </c>
      <c r="L60" s="38" t="str">
        <f ca="1">IF($B60="","",INDEX('Risk Register'!$Y$6:$Y$105,$B60))</f>
        <v/>
      </c>
      <c r="M60" s="38" t="str">
        <f ca="1">IF(K60="","",INDEX(Methodology!$B$48:$B$50,MATCH(K60,Methodology!$A$48:$A$50,0)))</f>
        <v/>
      </c>
      <c r="N60" s="45" t="str">
        <f ca="1">IF($B60="","",IF(INDEX('Risk Register'!$X$6:$X$105,$B60)="","",INDEX('Risk Register'!$X$6:$X$105,$B60)))</f>
        <v/>
      </c>
      <c r="O60" s="37" t="str">
        <f ca="1">IF(OR($B60="",N60=""),"",N60-Methodology!$B$4)</f>
        <v/>
      </c>
      <c r="P60" s="37" t="str">
        <f ca="1">IF($B60="","",INDEX('Risk Register'!$AC$6:$AC$105,$B60))</f>
        <v/>
      </c>
      <c r="Q60" s="44" t="str">
        <f t="shared" ca="1" si="3"/>
        <v/>
      </c>
    </row>
    <row r="61" spans="1:17" x14ac:dyDescent="0.35">
      <c r="A61" s="43">
        <v>55</v>
      </c>
      <c r="B61" s="43" t="str">
        <f ca="1">IFERROR(MATCH($A61,'Risk Register'!$AB$6:$AB$105,0),"")</f>
        <v/>
      </c>
      <c r="C61" s="38" t="str">
        <f ca="1">IF($B61="","",INDEX('Risk Register'!$A$6:$A$105,$B61))</f>
        <v/>
      </c>
      <c r="D61" s="44" t="str">
        <f ca="1">IF($B61="","",INDEX('Risk Register'!$B$6:$B$105,$B61))</f>
        <v/>
      </c>
      <c r="E61" s="38" t="str">
        <f ca="1">IF($B61="","",INDEX('Risk Register'!$D$6:$D$105,$B61))</f>
        <v/>
      </c>
      <c r="F61" s="38" t="str">
        <f ca="1">IF($B61="","",INDEX('Risk Register'!$E$6:$E$105,$B61))</f>
        <v/>
      </c>
      <c r="G61" s="37" t="str">
        <f ca="1">IF($B61="","",INDEX('Risk Register'!$O$6:$O$105,$B61))</f>
        <v/>
      </c>
      <c r="H61" s="37" t="str">
        <f ca="1">IF($B61="","",INDEX('Risk Register'!$S$6:$S$105,$B61))</f>
        <v/>
      </c>
      <c r="I61" s="37" t="str">
        <f ca="1">IF($B61="","",INDEX('Risk Register'!$T$6:$T$105,$B61))</f>
        <v/>
      </c>
      <c r="J61" s="37" t="str">
        <f t="shared" ca="1" si="2"/>
        <v/>
      </c>
      <c r="K61" s="38" t="str">
        <f ca="1">IF($B61="","",INDEX('Risk Register'!$U$6:$U$105,$B61))</f>
        <v/>
      </c>
      <c r="L61" s="38" t="str">
        <f ca="1">IF($B61="","",INDEX('Risk Register'!$Y$6:$Y$105,$B61))</f>
        <v/>
      </c>
      <c r="M61" s="38" t="str">
        <f ca="1">IF(K61="","",INDEX(Methodology!$B$48:$B$50,MATCH(K61,Methodology!$A$48:$A$50,0)))</f>
        <v/>
      </c>
      <c r="N61" s="45" t="str">
        <f ca="1">IF($B61="","",IF(INDEX('Risk Register'!$X$6:$X$105,$B61)="","",INDEX('Risk Register'!$X$6:$X$105,$B61)))</f>
        <v/>
      </c>
      <c r="O61" s="37" t="str">
        <f ca="1">IF(OR($B61="",N61=""),"",N61-Methodology!$B$4)</f>
        <v/>
      </c>
      <c r="P61" s="37" t="str">
        <f ca="1">IF($B61="","",INDEX('Risk Register'!$AC$6:$AC$105,$B61))</f>
        <v/>
      </c>
      <c r="Q61" s="44" t="str">
        <f t="shared" ca="1" si="3"/>
        <v/>
      </c>
    </row>
    <row r="62" spans="1:17" x14ac:dyDescent="0.35">
      <c r="A62" s="43">
        <v>56</v>
      </c>
      <c r="B62" s="43" t="str">
        <f ca="1">IFERROR(MATCH($A62,'Risk Register'!$AB$6:$AB$105,0),"")</f>
        <v/>
      </c>
      <c r="C62" s="38" t="str">
        <f ca="1">IF($B62="","",INDEX('Risk Register'!$A$6:$A$105,$B62))</f>
        <v/>
      </c>
      <c r="D62" s="44" t="str">
        <f ca="1">IF($B62="","",INDEX('Risk Register'!$B$6:$B$105,$B62))</f>
        <v/>
      </c>
      <c r="E62" s="38" t="str">
        <f ca="1">IF($B62="","",INDEX('Risk Register'!$D$6:$D$105,$B62))</f>
        <v/>
      </c>
      <c r="F62" s="38" t="str">
        <f ca="1">IF($B62="","",INDEX('Risk Register'!$E$6:$E$105,$B62))</f>
        <v/>
      </c>
      <c r="G62" s="37" t="str">
        <f ca="1">IF($B62="","",INDEX('Risk Register'!$O$6:$O$105,$B62))</f>
        <v/>
      </c>
      <c r="H62" s="37" t="str">
        <f ca="1">IF($B62="","",INDEX('Risk Register'!$S$6:$S$105,$B62))</f>
        <v/>
      </c>
      <c r="I62" s="37" t="str">
        <f ca="1">IF($B62="","",INDEX('Risk Register'!$T$6:$T$105,$B62))</f>
        <v/>
      </c>
      <c r="J62" s="37" t="str">
        <f t="shared" ca="1" si="2"/>
        <v/>
      </c>
      <c r="K62" s="38" t="str">
        <f ca="1">IF($B62="","",INDEX('Risk Register'!$U$6:$U$105,$B62))</f>
        <v/>
      </c>
      <c r="L62" s="38" t="str">
        <f ca="1">IF($B62="","",INDEX('Risk Register'!$Y$6:$Y$105,$B62))</f>
        <v/>
      </c>
      <c r="M62" s="38" t="str">
        <f ca="1">IF(K62="","",INDEX(Methodology!$B$48:$B$50,MATCH(K62,Methodology!$A$48:$A$50,0)))</f>
        <v/>
      </c>
      <c r="N62" s="45" t="str">
        <f ca="1">IF($B62="","",IF(INDEX('Risk Register'!$X$6:$X$105,$B62)="","",INDEX('Risk Register'!$X$6:$X$105,$B62)))</f>
        <v/>
      </c>
      <c r="O62" s="37" t="str">
        <f ca="1">IF(OR($B62="",N62=""),"",N62-Methodology!$B$4)</f>
        <v/>
      </c>
      <c r="P62" s="37" t="str">
        <f ca="1">IF($B62="","",INDEX('Risk Register'!$AC$6:$AC$105,$B62))</f>
        <v/>
      </c>
      <c r="Q62" s="44" t="str">
        <f t="shared" ca="1" si="3"/>
        <v/>
      </c>
    </row>
    <row r="63" spans="1:17" x14ac:dyDescent="0.35">
      <c r="A63" s="43">
        <v>57</v>
      </c>
      <c r="B63" s="43" t="str">
        <f ca="1">IFERROR(MATCH($A63,'Risk Register'!$AB$6:$AB$105,0),"")</f>
        <v/>
      </c>
      <c r="C63" s="38" t="str">
        <f ca="1">IF($B63="","",INDEX('Risk Register'!$A$6:$A$105,$B63))</f>
        <v/>
      </c>
      <c r="D63" s="44" t="str">
        <f ca="1">IF($B63="","",INDEX('Risk Register'!$B$6:$B$105,$B63))</f>
        <v/>
      </c>
      <c r="E63" s="38" t="str">
        <f ca="1">IF($B63="","",INDEX('Risk Register'!$D$6:$D$105,$B63))</f>
        <v/>
      </c>
      <c r="F63" s="38" t="str">
        <f ca="1">IF($B63="","",INDEX('Risk Register'!$E$6:$E$105,$B63))</f>
        <v/>
      </c>
      <c r="G63" s="37" t="str">
        <f ca="1">IF($B63="","",INDEX('Risk Register'!$O$6:$O$105,$B63))</f>
        <v/>
      </c>
      <c r="H63" s="37" t="str">
        <f ca="1">IF($B63="","",INDEX('Risk Register'!$S$6:$S$105,$B63))</f>
        <v/>
      </c>
      <c r="I63" s="37" t="str">
        <f ca="1">IF($B63="","",INDEX('Risk Register'!$T$6:$T$105,$B63))</f>
        <v/>
      </c>
      <c r="J63" s="37" t="str">
        <f t="shared" ca="1" si="2"/>
        <v/>
      </c>
      <c r="K63" s="38" t="str">
        <f ca="1">IF($B63="","",INDEX('Risk Register'!$U$6:$U$105,$B63))</f>
        <v/>
      </c>
      <c r="L63" s="38" t="str">
        <f ca="1">IF($B63="","",INDEX('Risk Register'!$Y$6:$Y$105,$B63))</f>
        <v/>
      </c>
      <c r="M63" s="38" t="str">
        <f ca="1">IF(K63="","",INDEX(Methodology!$B$48:$B$50,MATCH(K63,Methodology!$A$48:$A$50,0)))</f>
        <v/>
      </c>
      <c r="N63" s="45" t="str">
        <f ca="1">IF($B63="","",IF(INDEX('Risk Register'!$X$6:$X$105,$B63)="","",INDEX('Risk Register'!$X$6:$X$105,$B63)))</f>
        <v/>
      </c>
      <c r="O63" s="37" t="str">
        <f ca="1">IF(OR($B63="",N63=""),"",N63-Methodology!$B$4)</f>
        <v/>
      </c>
      <c r="P63" s="37" t="str">
        <f ca="1">IF($B63="","",INDEX('Risk Register'!$AC$6:$AC$105,$B63))</f>
        <v/>
      </c>
      <c r="Q63" s="44" t="str">
        <f t="shared" ca="1" si="3"/>
        <v/>
      </c>
    </row>
    <row r="64" spans="1:17" x14ac:dyDescent="0.35">
      <c r="A64" s="43">
        <v>58</v>
      </c>
      <c r="B64" s="43" t="str">
        <f ca="1">IFERROR(MATCH($A64,'Risk Register'!$AB$6:$AB$105,0),"")</f>
        <v/>
      </c>
      <c r="C64" s="38" t="str">
        <f ca="1">IF($B64="","",INDEX('Risk Register'!$A$6:$A$105,$B64))</f>
        <v/>
      </c>
      <c r="D64" s="44" t="str">
        <f ca="1">IF($B64="","",INDEX('Risk Register'!$B$6:$B$105,$B64))</f>
        <v/>
      </c>
      <c r="E64" s="38" t="str">
        <f ca="1">IF($B64="","",INDEX('Risk Register'!$D$6:$D$105,$B64))</f>
        <v/>
      </c>
      <c r="F64" s="38" t="str">
        <f ca="1">IF($B64="","",INDEX('Risk Register'!$E$6:$E$105,$B64))</f>
        <v/>
      </c>
      <c r="G64" s="37" t="str">
        <f ca="1">IF($B64="","",INDEX('Risk Register'!$O$6:$O$105,$B64))</f>
        <v/>
      </c>
      <c r="H64" s="37" t="str">
        <f ca="1">IF($B64="","",INDEX('Risk Register'!$S$6:$S$105,$B64))</f>
        <v/>
      </c>
      <c r="I64" s="37" t="str">
        <f ca="1">IF($B64="","",INDEX('Risk Register'!$T$6:$T$105,$B64))</f>
        <v/>
      </c>
      <c r="J64" s="37" t="str">
        <f t="shared" ca="1" si="2"/>
        <v/>
      </c>
      <c r="K64" s="38" t="str">
        <f ca="1">IF($B64="","",INDEX('Risk Register'!$U$6:$U$105,$B64))</f>
        <v/>
      </c>
      <c r="L64" s="38" t="str">
        <f ca="1">IF($B64="","",INDEX('Risk Register'!$Y$6:$Y$105,$B64))</f>
        <v/>
      </c>
      <c r="M64" s="38" t="str">
        <f ca="1">IF(K64="","",INDEX(Methodology!$B$48:$B$50,MATCH(K64,Methodology!$A$48:$A$50,0)))</f>
        <v/>
      </c>
      <c r="N64" s="45" t="str">
        <f ca="1">IF($B64="","",IF(INDEX('Risk Register'!$X$6:$X$105,$B64)="","",INDEX('Risk Register'!$X$6:$X$105,$B64)))</f>
        <v/>
      </c>
      <c r="O64" s="37" t="str">
        <f ca="1">IF(OR($B64="",N64=""),"",N64-Methodology!$B$4)</f>
        <v/>
      </c>
      <c r="P64" s="37" t="str">
        <f ca="1">IF($B64="","",INDEX('Risk Register'!$AC$6:$AC$105,$B64))</f>
        <v/>
      </c>
      <c r="Q64" s="44" t="str">
        <f t="shared" ca="1" si="3"/>
        <v/>
      </c>
    </row>
    <row r="65" spans="1:17" x14ac:dyDescent="0.35">
      <c r="A65" s="43">
        <v>59</v>
      </c>
      <c r="B65" s="43" t="str">
        <f ca="1">IFERROR(MATCH($A65,'Risk Register'!$AB$6:$AB$105,0),"")</f>
        <v/>
      </c>
      <c r="C65" s="38" t="str">
        <f ca="1">IF($B65="","",INDEX('Risk Register'!$A$6:$A$105,$B65))</f>
        <v/>
      </c>
      <c r="D65" s="44" t="str">
        <f ca="1">IF($B65="","",INDEX('Risk Register'!$B$6:$B$105,$B65))</f>
        <v/>
      </c>
      <c r="E65" s="38" t="str">
        <f ca="1">IF($B65="","",INDEX('Risk Register'!$D$6:$D$105,$B65))</f>
        <v/>
      </c>
      <c r="F65" s="38" t="str">
        <f ca="1">IF($B65="","",INDEX('Risk Register'!$E$6:$E$105,$B65))</f>
        <v/>
      </c>
      <c r="G65" s="37" t="str">
        <f ca="1">IF($B65="","",INDEX('Risk Register'!$O$6:$O$105,$B65))</f>
        <v/>
      </c>
      <c r="H65" s="37" t="str">
        <f ca="1">IF($B65="","",INDEX('Risk Register'!$S$6:$S$105,$B65))</f>
        <v/>
      </c>
      <c r="I65" s="37" t="str">
        <f ca="1">IF($B65="","",INDEX('Risk Register'!$T$6:$T$105,$B65))</f>
        <v/>
      </c>
      <c r="J65" s="37" t="str">
        <f t="shared" ca="1" si="2"/>
        <v/>
      </c>
      <c r="K65" s="38" t="str">
        <f ca="1">IF($B65="","",INDEX('Risk Register'!$U$6:$U$105,$B65))</f>
        <v/>
      </c>
      <c r="L65" s="38" t="str">
        <f ca="1">IF($B65="","",INDEX('Risk Register'!$Y$6:$Y$105,$B65))</f>
        <v/>
      </c>
      <c r="M65" s="38" t="str">
        <f ca="1">IF(K65="","",INDEX(Methodology!$B$48:$B$50,MATCH(K65,Methodology!$A$48:$A$50,0)))</f>
        <v/>
      </c>
      <c r="N65" s="45" t="str">
        <f ca="1">IF($B65="","",IF(INDEX('Risk Register'!$X$6:$X$105,$B65)="","",INDEX('Risk Register'!$X$6:$X$105,$B65)))</f>
        <v/>
      </c>
      <c r="O65" s="37" t="str">
        <f ca="1">IF(OR($B65="",N65=""),"",N65-Methodology!$B$4)</f>
        <v/>
      </c>
      <c r="P65" s="37" t="str">
        <f ca="1">IF($B65="","",INDEX('Risk Register'!$AC$6:$AC$105,$B65))</f>
        <v/>
      </c>
      <c r="Q65" s="44" t="str">
        <f t="shared" ca="1" si="3"/>
        <v/>
      </c>
    </row>
    <row r="66" spans="1:17" x14ac:dyDescent="0.35">
      <c r="A66" s="43">
        <v>60</v>
      </c>
      <c r="B66" s="43" t="str">
        <f ca="1">IFERROR(MATCH($A66,'Risk Register'!$AB$6:$AB$105,0),"")</f>
        <v/>
      </c>
      <c r="C66" s="38" t="str">
        <f ca="1">IF($B66="","",INDEX('Risk Register'!$A$6:$A$105,$B66))</f>
        <v/>
      </c>
      <c r="D66" s="44" t="str">
        <f ca="1">IF($B66="","",INDEX('Risk Register'!$B$6:$B$105,$B66))</f>
        <v/>
      </c>
      <c r="E66" s="38" t="str">
        <f ca="1">IF($B66="","",INDEX('Risk Register'!$D$6:$D$105,$B66))</f>
        <v/>
      </c>
      <c r="F66" s="38" t="str">
        <f ca="1">IF($B66="","",INDEX('Risk Register'!$E$6:$E$105,$B66))</f>
        <v/>
      </c>
      <c r="G66" s="37" t="str">
        <f ca="1">IF($B66="","",INDEX('Risk Register'!$O$6:$O$105,$B66))</f>
        <v/>
      </c>
      <c r="H66" s="37" t="str">
        <f ca="1">IF($B66="","",INDEX('Risk Register'!$S$6:$S$105,$B66))</f>
        <v/>
      </c>
      <c r="I66" s="37" t="str">
        <f ca="1">IF($B66="","",INDEX('Risk Register'!$T$6:$T$105,$B66))</f>
        <v/>
      </c>
      <c r="J66" s="37" t="str">
        <f t="shared" ca="1" si="2"/>
        <v/>
      </c>
      <c r="K66" s="38" t="str">
        <f ca="1">IF($B66="","",INDEX('Risk Register'!$U$6:$U$105,$B66))</f>
        <v/>
      </c>
      <c r="L66" s="38" t="str">
        <f ca="1">IF($B66="","",INDEX('Risk Register'!$Y$6:$Y$105,$B66))</f>
        <v/>
      </c>
      <c r="M66" s="38" t="str">
        <f ca="1">IF(K66="","",INDEX(Methodology!$B$48:$B$50,MATCH(K66,Methodology!$A$48:$A$50,0)))</f>
        <v/>
      </c>
      <c r="N66" s="45" t="str">
        <f ca="1">IF($B66="","",IF(INDEX('Risk Register'!$X$6:$X$105,$B66)="","",INDEX('Risk Register'!$X$6:$X$105,$B66)))</f>
        <v/>
      </c>
      <c r="O66" s="37" t="str">
        <f ca="1">IF(OR($B66="",N66=""),"",N66-Methodology!$B$4)</f>
        <v/>
      </c>
      <c r="P66" s="37" t="str">
        <f ca="1">IF($B66="","",INDEX('Risk Register'!$AC$6:$AC$105,$B66))</f>
        <v/>
      </c>
      <c r="Q66" s="44" t="str">
        <f t="shared" ca="1" si="3"/>
        <v/>
      </c>
    </row>
    <row r="67" spans="1:17" x14ac:dyDescent="0.35">
      <c r="A67" s="43">
        <v>61</v>
      </c>
      <c r="B67" s="43" t="str">
        <f ca="1">IFERROR(MATCH($A67,'Risk Register'!$AB$6:$AB$105,0),"")</f>
        <v/>
      </c>
      <c r="C67" s="38" t="str">
        <f ca="1">IF($B67="","",INDEX('Risk Register'!$A$6:$A$105,$B67))</f>
        <v/>
      </c>
      <c r="D67" s="44" t="str">
        <f ca="1">IF($B67="","",INDEX('Risk Register'!$B$6:$B$105,$B67))</f>
        <v/>
      </c>
      <c r="E67" s="38" t="str">
        <f ca="1">IF($B67="","",INDEX('Risk Register'!$D$6:$D$105,$B67))</f>
        <v/>
      </c>
      <c r="F67" s="38" t="str">
        <f ca="1">IF($B67="","",INDEX('Risk Register'!$E$6:$E$105,$B67))</f>
        <v/>
      </c>
      <c r="G67" s="37" t="str">
        <f ca="1">IF($B67="","",INDEX('Risk Register'!$O$6:$O$105,$B67))</f>
        <v/>
      </c>
      <c r="H67" s="37" t="str">
        <f ca="1">IF($B67="","",INDEX('Risk Register'!$S$6:$S$105,$B67))</f>
        <v/>
      </c>
      <c r="I67" s="37" t="str">
        <f ca="1">IF($B67="","",INDEX('Risk Register'!$T$6:$T$105,$B67))</f>
        <v/>
      </c>
      <c r="J67" s="37" t="str">
        <f t="shared" ca="1" si="2"/>
        <v/>
      </c>
      <c r="K67" s="38" t="str">
        <f ca="1">IF($B67="","",INDEX('Risk Register'!$U$6:$U$105,$B67))</f>
        <v/>
      </c>
      <c r="L67" s="38" t="str">
        <f ca="1">IF($B67="","",INDEX('Risk Register'!$Y$6:$Y$105,$B67))</f>
        <v/>
      </c>
      <c r="M67" s="38" t="str">
        <f ca="1">IF(K67="","",INDEX(Methodology!$B$48:$B$50,MATCH(K67,Methodology!$A$48:$A$50,0)))</f>
        <v/>
      </c>
      <c r="N67" s="45" t="str">
        <f ca="1">IF($B67="","",IF(INDEX('Risk Register'!$X$6:$X$105,$B67)="","",INDEX('Risk Register'!$X$6:$X$105,$B67)))</f>
        <v/>
      </c>
      <c r="O67" s="37" t="str">
        <f ca="1">IF(OR($B67="",N67=""),"",N67-Methodology!$B$4)</f>
        <v/>
      </c>
      <c r="P67" s="37" t="str">
        <f ca="1">IF($B67="","",INDEX('Risk Register'!$AC$6:$AC$105,$B67))</f>
        <v/>
      </c>
      <c r="Q67" s="44" t="str">
        <f t="shared" ca="1" si="3"/>
        <v/>
      </c>
    </row>
    <row r="68" spans="1:17" x14ac:dyDescent="0.35">
      <c r="A68" s="43">
        <v>62</v>
      </c>
      <c r="B68" s="43" t="str">
        <f ca="1">IFERROR(MATCH($A68,'Risk Register'!$AB$6:$AB$105,0),"")</f>
        <v/>
      </c>
      <c r="C68" s="38" t="str">
        <f ca="1">IF($B68="","",INDEX('Risk Register'!$A$6:$A$105,$B68))</f>
        <v/>
      </c>
      <c r="D68" s="44" t="str">
        <f ca="1">IF($B68="","",INDEX('Risk Register'!$B$6:$B$105,$B68))</f>
        <v/>
      </c>
      <c r="E68" s="38" t="str">
        <f ca="1">IF($B68="","",INDEX('Risk Register'!$D$6:$D$105,$B68))</f>
        <v/>
      </c>
      <c r="F68" s="38" t="str">
        <f ca="1">IF($B68="","",INDEX('Risk Register'!$E$6:$E$105,$B68))</f>
        <v/>
      </c>
      <c r="G68" s="37" t="str">
        <f ca="1">IF($B68="","",INDEX('Risk Register'!$O$6:$O$105,$B68))</f>
        <v/>
      </c>
      <c r="H68" s="37" t="str">
        <f ca="1">IF($B68="","",INDEX('Risk Register'!$S$6:$S$105,$B68))</f>
        <v/>
      </c>
      <c r="I68" s="37" t="str">
        <f ca="1">IF($B68="","",INDEX('Risk Register'!$T$6:$T$105,$B68))</f>
        <v/>
      </c>
      <c r="J68" s="37" t="str">
        <f t="shared" ca="1" si="2"/>
        <v/>
      </c>
      <c r="K68" s="38" t="str">
        <f ca="1">IF($B68="","",INDEX('Risk Register'!$U$6:$U$105,$B68))</f>
        <v/>
      </c>
      <c r="L68" s="38" t="str">
        <f ca="1">IF($B68="","",INDEX('Risk Register'!$Y$6:$Y$105,$B68))</f>
        <v/>
      </c>
      <c r="M68" s="38" t="str">
        <f ca="1">IF(K68="","",INDEX(Methodology!$B$48:$B$50,MATCH(K68,Methodology!$A$48:$A$50,0)))</f>
        <v/>
      </c>
      <c r="N68" s="45" t="str">
        <f ca="1">IF($B68="","",IF(INDEX('Risk Register'!$X$6:$X$105,$B68)="","",INDEX('Risk Register'!$X$6:$X$105,$B68)))</f>
        <v/>
      </c>
      <c r="O68" s="37" t="str">
        <f ca="1">IF(OR($B68="",N68=""),"",N68-Methodology!$B$4)</f>
        <v/>
      </c>
      <c r="P68" s="37" t="str">
        <f ca="1">IF($B68="","",INDEX('Risk Register'!$AC$6:$AC$105,$B68))</f>
        <v/>
      </c>
      <c r="Q68" s="44" t="str">
        <f t="shared" ca="1" si="3"/>
        <v/>
      </c>
    </row>
    <row r="69" spans="1:17" x14ac:dyDescent="0.35">
      <c r="A69" s="43">
        <v>63</v>
      </c>
      <c r="B69" s="43" t="str">
        <f ca="1">IFERROR(MATCH($A69,'Risk Register'!$AB$6:$AB$105,0),"")</f>
        <v/>
      </c>
      <c r="C69" s="38" t="str">
        <f ca="1">IF($B69="","",INDEX('Risk Register'!$A$6:$A$105,$B69))</f>
        <v/>
      </c>
      <c r="D69" s="44" t="str">
        <f ca="1">IF($B69="","",INDEX('Risk Register'!$B$6:$B$105,$B69))</f>
        <v/>
      </c>
      <c r="E69" s="38" t="str">
        <f ca="1">IF($B69="","",INDEX('Risk Register'!$D$6:$D$105,$B69))</f>
        <v/>
      </c>
      <c r="F69" s="38" t="str">
        <f ca="1">IF($B69="","",INDEX('Risk Register'!$E$6:$E$105,$B69))</f>
        <v/>
      </c>
      <c r="G69" s="37" t="str">
        <f ca="1">IF($B69="","",INDEX('Risk Register'!$O$6:$O$105,$B69))</f>
        <v/>
      </c>
      <c r="H69" s="37" t="str">
        <f ca="1">IF($B69="","",INDEX('Risk Register'!$S$6:$S$105,$B69))</f>
        <v/>
      </c>
      <c r="I69" s="37" t="str">
        <f ca="1">IF($B69="","",INDEX('Risk Register'!$T$6:$T$105,$B69))</f>
        <v/>
      </c>
      <c r="J69" s="37" t="str">
        <f t="shared" ca="1" si="2"/>
        <v/>
      </c>
      <c r="K69" s="38" t="str">
        <f ca="1">IF($B69="","",INDEX('Risk Register'!$U$6:$U$105,$B69))</f>
        <v/>
      </c>
      <c r="L69" s="38" t="str">
        <f ca="1">IF($B69="","",INDEX('Risk Register'!$Y$6:$Y$105,$B69))</f>
        <v/>
      </c>
      <c r="M69" s="38" t="str">
        <f ca="1">IF(K69="","",INDEX(Methodology!$B$48:$B$50,MATCH(K69,Methodology!$A$48:$A$50,0)))</f>
        <v/>
      </c>
      <c r="N69" s="45" t="str">
        <f ca="1">IF($B69="","",IF(INDEX('Risk Register'!$X$6:$X$105,$B69)="","",INDEX('Risk Register'!$X$6:$X$105,$B69)))</f>
        <v/>
      </c>
      <c r="O69" s="37" t="str">
        <f ca="1">IF(OR($B69="",N69=""),"",N69-Methodology!$B$4)</f>
        <v/>
      </c>
      <c r="P69" s="37" t="str">
        <f ca="1">IF($B69="","",INDEX('Risk Register'!$AC$6:$AC$105,$B69))</f>
        <v/>
      </c>
      <c r="Q69" s="44" t="str">
        <f t="shared" ca="1" si="3"/>
        <v/>
      </c>
    </row>
    <row r="70" spans="1:17" x14ac:dyDescent="0.35">
      <c r="A70" s="43">
        <v>64</v>
      </c>
      <c r="B70" s="43" t="str">
        <f ca="1">IFERROR(MATCH($A70,'Risk Register'!$AB$6:$AB$105,0),"")</f>
        <v/>
      </c>
      <c r="C70" s="38" t="str">
        <f ca="1">IF($B70="","",INDEX('Risk Register'!$A$6:$A$105,$B70))</f>
        <v/>
      </c>
      <c r="D70" s="44" t="str">
        <f ca="1">IF($B70="","",INDEX('Risk Register'!$B$6:$B$105,$B70))</f>
        <v/>
      </c>
      <c r="E70" s="38" t="str">
        <f ca="1">IF($B70="","",INDEX('Risk Register'!$D$6:$D$105,$B70))</f>
        <v/>
      </c>
      <c r="F70" s="38" t="str">
        <f ca="1">IF($B70="","",INDEX('Risk Register'!$E$6:$E$105,$B70))</f>
        <v/>
      </c>
      <c r="G70" s="37" t="str">
        <f ca="1">IF($B70="","",INDEX('Risk Register'!$O$6:$O$105,$B70))</f>
        <v/>
      </c>
      <c r="H70" s="37" t="str">
        <f ca="1">IF($B70="","",INDEX('Risk Register'!$S$6:$S$105,$B70))</f>
        <v/>
      </c>
      <c r="I70" s="37" t="str">
        <f ca="1">IF($B70="","",INDEX('Risk Register'!$T$6:$T$105,$B70))</f>
        <v/>
      </c>
      <c r="J70" s="37" t="str">
        <f t="shared" ca="1" si="2"/>
        <v/>
      </c>
      <c r="K70" s="38" t="str">
        <f ca="1">IF($B70="","",INDEX('Risk Register'!$U$6:$U$105,$B70))</f>
        <v/>
      </c>
      <c r="L70" s="38" t="str">
        <f ca="1">IF($B70="","",INDEX('Risk Register'!$Y$6:$Y$105,$B70))</f>
        <v/>
      </c>
      <c r="M70" s="38" t="str">
        <f ca="1">IF(K70="","",INDEX(Methodology!$B$48:$B$50,MATCH(K70,Methodology!$A$48:$A$50,0)))</f>
        <v/>
      </c>
      <c r="N70" s="45" t="str">
        <f ca="1">IF($B70="","",IF(INDEX('Risk Register'!$X$6:$X$105,$B70)="","",INDEX('Risk Register'!$X$6:$X$105,$B70)))</f>
        <v/>
      </c>
      <c r="O70" s="37" t="str">
        <f ca="1">IF(OR($B70="",N70=""),"",N70-Methodology!$B$4)</f>
        <v/>
      </c>
      <c r="P70" s="37" t="str">
        <f ca="1">IF($B70="","",INDEX('Risk Register'!$AC$6:$AC$105,$B70))</f>
        <v/>
      </c>
      <c r="Q70" s="44" t="str">
        <f t="shared" ca="1" si="3"/>
        <v/>
      </c>
    </row>
    <row r="71" spans="1:17" x14ac:dyDescent="0.35">
      <c r="A71" s="43">
        <v>65</v>
      </c>
      <c r="B71" s="43" t="str">
        <f ca="1">IFERROR(MATCH($A71,'Risk Register'!$AB$6:$AB$105,0),"")</f>
        <v/>
      </c>
      <c r="C71" s="38" t="str">
        <f ca="1">IF($B71="","",INDEX('Risk Register'!$A$6:$A$105,$B71))</f>
        <v/>
      </c>
      <c r="D71" s="44" t="str">
        <f ca="1">IF($B71="","",INDEX('Risk Register'!$B$6:$B$105,$B71))</f>
        <v/>
      </c>
      <c r="E71" s="38" t="str">
        <f ca="1">IF($B71="","",INDEX('Risk Register'!$D$6:$D$105,$B71))</f>
        <v/>
      </c>
      <c r="F71" s="38" t="str">
        <f ca="1">IF($B71="","",INDEX('Risk Register'!$E$6:$E$105,$B71))</f>
        <v/>
      </c>
      <c r="G71" s="37" t="str">
        <f ca="1">IF($B71="","",INDEX('Risk Register'!$O$6:$O$105,$B71))</f>
        <v/>
      </c>
      <c r="H71" s="37" t="str">
        <f ca="1">IF($B71="","",INDEX('Risk Register'!$S$6:$S$105,$B71))</f>
        <v/>
      </c>
      <c r="I71" s="37" t="str">
        <f ca="1">IF($B71="","",INDEX('Risk Register'!$T$6:$T$105,$B71))</f>
        <v/>
      </c>
      <c r="J71" s="37" t="str">
        <f t="shared" ref="J71:J106" ca="1" si="4">IF($B71="","",G71-H71)</f>
        <v/>
      </c>
      <c r="K71" s="38" t="str">
        <f ca="1">IF($B71="","",INDEX('Risk Register'!$U$6:$U$105,$B71))</f>
        <v/>
      </c>
      <c r="L71" s="38" t="str">
        <f ca="1">IF($B71="","",INDEX('Risk Register'!$Y$6:$Y$105,$B71))</f>
        <v/>
      </c>
      <c r="M71" s="38" t="str">
        <f ca="1">IF(K71="","",INDEX(Methodology!$B$48:$B$50,MATCH(K71,Methodology!$A$48:$A$50,0)))</f>
        <v/>
      </c>
      <c r="N71" s="45" t="str">
        <f ca="1">IF($B71="","",IF(INDEX('Risk Register'!$X$6:$X$105,$B71)="","",INDEX('Risk Register'!$X$6:$X$105,$B71)))</f>
        <v/>
      </c>
      <c r="O71" s="37" t="str">
        <f ca="1">IF(OR($B71="",N71=""),"",N71-Methodology!$B$4)</f>
        <v/>
      </c>
      <c r="P71" s="37" t="str">
        <f ca="1">IF($B71="","",INDEX('Risk Register'!$AC$6:$AC$105,$B71))</f>
        <v/>
      </c>
      <c r="Q71" s="44" t="str">
        <f t="shared" ref="Q71:Q102" ca="1" si="5">IF($B71="","",IF(L71="Breach - not accepted",IF(P71=0,"Escalate to "&amp;M71&amp;"; no treatment action or acceptance recorded","Escalate to "&amp;M71&amp;"; track treatment actions"),IF(L71="Acceptance expired - breach open","Acceptance lapsed: re-approve or treat",IF(L71="Accepted - expiry not set","Set an acceptance expiry date","Accepted: monitor to expiry and keep treating where practical"))))</f>
        <v/>
      </c>
    </row>
    <row r="72" spans="1:17" x14ac:dyDescent="0.35">
      <c r="A72" s="43">
        <v>66</v>
      </c>
      <c r="B72" s="43" t="str">
        <f ca="1">IFERROR(MATCH($A72,'Risk Register'!$AB$6:$AB$105,0),"")</f>
        <v/>
      </c>
      <c r="C72" s="38" t="str">
        <f ca="1">IF($B72="","",INDEX('Risk Register'!$A$6:$A$105,$B72))</f>
        <v/>
      </c>
      <c r="D72" s="44" t="str">
        <f ca="1">IF($B72="","",INDEX('Risk Register'!$B$6:$B$105,$B72))</f>
        <v/>
      </c>
      <c r="E72" s="38" t="str">
        <f ca="1">IF($B72="","",INDEX('Risk Register'!$D$6:$D$105,$B72))</f>
        <v/>
      </c>
      <c r="F72" s="38" t="str">
        <f ca="1">IF($B72="","",INDEX('Risk Register'!$E$6:$E$105,$B72))</f>
        <v/>
      </c>
      <c r="G72" s="37" t="str">
        <f ca="1">IF($B72="","",INDEX('Risk Register'!$O$6:$O$105,$B72))</f>
        <v/>
      </c>
      <c r="H72" s="37" t="str">
        <f ca="1">IF($B72="","",INDEX('Risk Register'!$S$6:$S$105,$B72))</f>
        <v/>
      </c>
      <c r="I72" s="37" t="str">
        <f ca="1">IF($B72="","",INDEX('Risk Register'!$T$6:$T$105,$B72))</f>
        <v/>
      </c>
      <c r="J72" s="37" t="str">
        <f t="shared" ca="1" si="4"/>
        <v/>
      </c>
      <c r="K72" s="38" t="str">
        <f ca="1">IF($B72="","",INDEX('Risk Register'!$U$6:$U$105,$B72))</f>
        <v/>
      </c>
      <c r="L72" s="38" t="str">
        <f ca="1">IF($B72="","",INDEX('Risk Register'!$Y$6:$Y$105,$B72))</f>
        <v/>
      </c>
      <c r="M72" s="38" t="str">
        <f ca="1">IF(K72="","",INDEX(Methodology!$B$48:$B$50,MATCH(K72,Methodology!$A$48:$A$50,0)))</f>
        <v/>
      </c>
      <c r="N72" s="45" t="str">
        <f ca="1">IF($B72="","",IF(INDEX('Risk Register'!$X$6:$X$105,$B72)="","",INDEX('Risk Register'!$X$6:$X$105,$B72)))</f>
        <v/>
      </c>
      <c r="O72" s="37" t="str">
        <f ca="1">IF(OR($B72="",N72=""),"",N72-Methodology!$B$4)</f>
        <v/>
      </c>
      <c r="P72" s="37" t="str">
        <f ca="1">IF($B72="","",INDEX('Risk Register'!$AC$6:$AC$105,$B72))</f>
        <v/>
      </c>
      <c r="Q72" s="44" t="str">
        <f t="shared" ca="1" si="5"/>
        <v/>
      </c>
    </row>
    <row r="73" spans="1:17" x14ac:dyDescent="0.35">
      <c r="A73" s="43">
        <v>67</v>
      </c>
      <c r="B73" s="43" t="str">
        <f ca="1">IFERROR(MATCH($A73,'Risk Register'!$AB$6:$AB$105,0),"")</f>
        <v/>
      </c>
      <c r="C73" s="38" t="str">
        <f ca="1">IF($B73="","",INDEX('Risk Register'!$A$6:$A$105,$B73))</f>
        <v/>
      </c>
      <c r="D73" s="44" t="str">
        <f ca="1">IF($B73="","",INDEX('Risk Register'!$B$6:$B$105,$B73))</f>
        <v/>
      </c>
      <c r="E73" s="38" t="str">
        <f ca="1">IF($B73="","",INDEX('Risk Register'!$D$6:$D$105,$B73))</f>
        <v/>
      </c>
      <c r="F73" s="38" t="str">
        <f ca="1">IF($B73="","",INDEX('Risk Register'!$E$6:$E$105,$B73))</f>
        <v/>
      </c>
      <c r="G73" s="37" t="str">
        <f ca="1">IF($B73="","",INDEX('Risk Register'!$O$6:$O$105,$B73))</f>
        <v/>
      </c>
      <c r="H73" s="37" t="str">
        <f ca="1">IF($B73="","",INDEX('Risk Register'!$S$6:$S$105,$B73))</f>
        <v/>
      </c>
      <c r="I73" s="37" t="str">
        <f ca="1">IF($B73="","",INDEX('Risk Register'!$T$6:$T$105,$B73))</f>
        <v/>
      </c>
      <c r="J73" s="37" t="str">
        <f t="shared" ca="1" si="4"/>
        <v/>
      </c>
      <c r="K73" s="38" t="str">
        <f ca="1">IF($B73="","",INDEX('Risk Register'!$U$6:$U$105,$B73))</f>
        <v/>
      </c>
      <c r="L73" s="38" t="str">
        <f ca="1">IF($B73="","",INDEX('Risk Register'!$Y$6:$Y$105,$B73))</f>
        <v/>
      </c>
      <c r="M73" s="38" t="str">
        <f ca="1">IF(K73="","",INDEX(Methodology!$B$48:$B$50,MATCH(K73,Methodology!$A$48:$A$50,0)))</f>
        <v/>
      </c>
      <c r="N73" s="45" t="str">
        <f ca="1">IF($B73="","",IF(INDEX('Risk Register'!$X$6:$X$105,$B73)="","",INDEX('Risk Register'!$X$6:$X$105,$B73)))</f>
        <v/>
      </c>
      <c r="O73" s="37" t="str">
        <f ca="1">IF(OR($B73="",N73=""),"",N73-Methodology!$B$4)</f>
        <v/>
      </c>
      <c r="P73" s="37" t="str">
        <f ca="1">IF($B73="","",INDEX('Risk Register'!$AC$6:$AC$105,$B73))</f>
        <v/>
      </c>
      <c r="Q73" s="44" t="str">
        <f t="shared" ca="1" si="5"/>
        <v/>
      </c>
    </row>
    <row r="74" spans="1:17" x14ac:dyDescent="0.35">
      <c r="A74" s="43">
        <v>68</v>
      </c>
      <c r="B74" s="43" t="str">
        <f ca="1">IFERROR(MATCH($A74,'Risk Register'!$AB$6:$AB$105,0),"")</f>
        <v/>
      </c>
      <c r="C74" s="38" t="str">
        <f ca="1">IF($B74="","",INDEX('Risk Register'!$A$6:$A$105,$B74))</f>
        <v/>
      </c>
      <c r="D74" s="44" t="str">
        <f ca="1">IF($B74="","",INDEX('Risk Register'!$B$6:$B$105,$B74))</f>
        <v/>
      </c>
      <c r="E74" s="38" t="str">
        <f ca="1">IF($B74="","",INDEX('Risk Register'!$D$6:$D$105,$B74))</f>
        <v/>
      </c>
      <c r="F74" s="38" t="str">
        <f ca="1">IF($B74="","",INDEX('Risk Register'!$E$6:$E$105,$B74))</f>
        <v/>
      </c>
      <c r="G74" s="37" t="str">
        <f ca="1">IF($B74="","",INDEX('Risk Register'!$O$6:$O$105,$B74))</f>
        <v/>
      </c>
      <c r="H74" s="37" t="str">
        <f ca="1">IF($B74="","",INDEX('Risk Register'!$S$6:$S$105,$B74))</f>
        <v/>
      </c>
      <c r="I74" s="37" t="str">
        <f ca="1">IF($B74="","",INDEX('Risk Register'!$T$6:$T$105,$B74))</f>
        <v/>
      </c>
      <c r="J74" s="37" t="str">
        <f t="shared" ca="1" si="4"/>
        <v/>
      </c>
      <c r="K74" s="38" t="str">
        <f ca="1">IF($B74="","",INDEX('Risk Register'!$U$6:$U$105,$B74))</f>
        <v/>
      </c>
      <c r="L74" s="38" t="str">
        <f ca="1">IF($B74="","",INDEX('Risk Register'!$Y$6:$Y$105,$B74))</f>
        <v/>
      </c>
      <c r="M74" s="38" t="str">
        <f ca="1">IF(K74="","",INDEX(Methodology!$B$48:$B$50,MATCH(K74,Methodology!$A$48:$A$50,0)))</f>
        <v/>
      </c>
      <c r="N74" s="45" t="str">
        <f ca="1">IF($B74="","",IF(INDEX('Risk Register'!$X$6:$X$105,$B74)="","",INDEX('Risk Register'!$X$6:$X$105,$B74)))</f>
        <v/>
      </c>
      <c r="O74" s="37" t="str">
        <f ca="1">IF(OR($B74="",N74=""),"",N74-Methodology!$B$4)</f>
        <v/>
      </c>
      <c r="P74" s="37" t="str">
        <f ca="1">IF($B74="","",INDEX('Risk Register'!$AC$6:$AC$105,$B74))</f>
        <v/>
      </c>
      <c r="Q74" s="44" t="str">
        <f t="shared" ca="1" si="5"/>
        <v/>
      </c>
    </row>
    <row r="75" spans="1:17" x14ac:dyDescent="0.35">
      <c r="A75" s="43">
        <v>69</v>
      </c>
      <c r="B75" s="43" t="str">
        <f ca="1">IFERROR(MATCH($A75,'Risk Register'!$AB$6:$AB$105,0),"")</f>
        <v/>
      </c>
      <c r="C75" s="38" t="str">
        <f ca="1">IF($B75="","",INDEX('Risk Register'!$A$6:$A$105,$B75))</f>
        <v/>
      </c>
      <c r="D75" s="44" t="str">
        <f ca="1">IF($B75="","",INDEX('Risk Register'!$B$6:$B$105,$B75))</f>
        <v/>
      </c>
      <c r="E75" s="38" t="str">
        <f ca="1">IF($B75="","",INDEX('Risk Register'!$D$6:$D$105,$B75))</f>
        <v/>
      </c>
      <c r="F75" s="38" t="str">
        <f ca="1">IF($B75="","",INDEX('Risk Register'!$E$6:$E$105,$B75))</f>
        <v/>
      </c>
      <c r="G75" s="37" t="str">
        <f ca="1">IF($B75="","",INDEX('Risk Register'!$O$6:$O$105,$B75))</f>
        <v/>
      </c>
      <c r="H75" s="37" t="str">
        <f ca="1">IF($B75="","",INDEX('Risk Register'!$S$6:$S$105,$B75))</f>
        <v/>
      </c>
      <c r="I75" s="37" t="str">
        <f ca="1">IF($B75="","",INDEX('Risk Register'!$T$6:$T$105,$B75))</f>
        <v/>
      </c>
      <c r="J75" s="37" t="str">
        <f t="shared" ca="1" si="4"/>
        <v/>
      </c>
      <c r="K75" s="38" t="str">
        <f ca="1">IF($B75="","",INDEX('Risk Register'!$U$6:$U$105,$B75))</f>
        <v/>
      </c>
      <c r="L75" s="38" t="str">
        <f ca="1">IF($B75="","",INDEX('Risk Register'!$Y$6:$Y$105,$B75))</f>
        <v/>
      </c>
      <c r="M75" s="38" t="str">
        <f ca="1">IF(K75="","",INDEX(Methodology!$B$48:$B$50,MATCH(K75,Methodology!$A$48:$A$50,0)))</f>
        <v/>
      </c>
      <c r="N75" s="45" t="str">
        <f ca="1">IF($B75="","",IF(INDEX('Risk Register'!$X$6:$X$105,$B75)="","",INDEX('Risk Register'!$X$6:$X$105,$B75)))</f>
        <v/>
      </c>
      <c r="O75" s="37" t="str">
        <f ca="1">IF(OR($B75="",N75=""),"",N75-Methodology!$B$4)</f>
        <v/>
      </c>
      <c r="P75" s="37" t="str">
        <f ca="1">IF($B75="","",INDEX('Risk Register'!$AC$6:$AC$105,$B75))</f>
        <v/>
      </c>
      <c r="Q75" s="44" t="str">
        <f t="shared" ca="1" si="5"/>
        <v/>
      </c>
    </row>
    <row r="76" spans="1:17" x14ac:dyDescent="0.35">
      <c r="A76" s="43">
        <v>70</v>
      </c>
      <c r="B76" s="43" t="str">
        <f ca="1">IFERROR(MATCH($A76,'Risk Register'!$AB$6:$AB$105,0),"")</f>
        <v/>
      </c>
      <c r="C76" s="38" t="str">
        <f ca="1">IF($B76="","",INDEX('Risk Register'!$A$6:$A$105,$B76))</f>
        <v/>
      </c>
      <c r="D76" s="44" t="str">
        <f ca="1">IF($B76="","",INDEX('Risk Register'!$B$6:$B$105,$B76))</f>
        <v/>
      </c>
      <c r="E76" s="38" t="str">
        <f ca="1">IF($B76="","",INDEX('Risk Register'!$D$6:$D$105,$B76))</f>
        <v/>
      </c>
      <c r="F76" s="38" t="str">
        <f ca="1">IF($B76="","",INDEX('Risk Register'!$E$6:$E$105,$B76))</f>
        <v/>
      </c>
      <c r="G76" s="37" t="str">
        <f ca="1">IF($B76="","",INDEX('Risk Register'!$O$6:$O$105,$B76))</f>
        <v/>
      </c>
      <c r="H76" s="37" t="str">
        <f ca="1">IF($B76="","",INDEX('Risk Register'!$S$6:$S$105,$B76))</f>
        <v/>
      </c>
      <c r="I76" s="37" t="str">
        <f ca="1">IF($B76="","",INDEX('Risk Register'!$T$6:$T$105,$B76))</f>
        <v/>
      </c>
      <c r="J76" s="37" t="str">
        <f t="shared" ca="1" si="4"/>
        <v/>
      </c>
      <c r="K76" s="38" t="str">
        <f ca="1">IF($B76="","",INDEX('Risk Register'!$U$6:$U$105,$B76))</f>
        <v/>
      </c>
      <c r="L76" s="38" t="str">
        <f ca="1">IF($B76="","",INDEX('Risk Register'!$Y$6:$Y$105,$B76))</f>
        <v/>
      </c>
      <c r="M76" s="38" t="str">
        <f ca="1">IF(K76="","",INDEX(Methodology!$B$48:$B$50,MATCH(K76,Methodology!$A$48:$A$50,0)))</f>
        <v/>
      </c>
      <c r="N76" s="45" t="str">
        <f ca="1">IF($B76="","",IF(INDEX('Risk Register'!$X$6:$X$105,$B76)="","",INDEX('Risk Register'!$X$6:$X$105,$B76)))</f>
        <v/>
      </c>
      <c r="O76" s="37" t="str">
        <f ca="1">IF(OR($B76="",N76=""),"",N76-Methodology!$B$4)</f>
        <v/>
      </c>
      <c r="P76" s="37" t="str">
        <f ca="1">IF($B76="","",INDEX('Risk Register'!$AC$6:$AC$105,$B76))</f>
        <v/>
      </c>
      <c r="Q76" s="44" t="str">
        <f t="shared" ca="1" si="5"/>
        <v/>
      </c>
    </row>
    <row r="77" spans="1:17" x14ac:dyDescent="0.35">
      <c r="A77" s="43">
        <v>71</v>
      </c>
      <c r="B77" s="43" t="str">
        <f ca="1">IFERROR(MATCH($A77,'Risk Register'!$AB$6:$AB$105,0),"")</f>
        <v/>
      </c>
      <c r="C77" s="38" t="str">
        <f ca="1">IF($B77="","",INDEX('Risk Register'!$A$6:$A$105,$B77))</f>
        <v/>
      </c>
      <c r="D77" s="44" t="str">
        <f ca="1">IF($B77="","",INDEX('Risk Register'!$B$6:$B$105,$B77))</f>
        <v/>
      </c>
      <c r="E77" s="38" t="str">
        <f ca="1">IF($B77="","",INDEX('Risk Register'!$D$6:$D$105,$B77))</f>
        <v/>
      </c>
      <c r="F77" s="38" t="str">
        <f ca="1">IF($B77="","",INDEX('Risk Register'!$E$6:$E$105,$B77))</f>
        <v/>
      </c>
      <c r="G77" s="37" t="str">
        <f ca="1">IF($B77="","",INDEX('Risk Register'!$O$6:$O$105,$B77))</f>
        <v/>
      </c>
      <c r="H77" s="37" t="str">
        <f ca="1">IF($B77="","",INDEX('Risk Register'!$S$6:$S$105,$B77))</f>
        <v/>
      </c>
      <c r="I77" s="37" t="str">
        <f ca="1">IF($B77="","",INDEX('Risk Register'!$T$6:$T$105,$B77))</f>
        <v/>
      </c>
      <c r="J77" s="37" t="str">
        <f t="shared" ca="1" si="4"/>
        <v/>
      </c>
      <c r="K77" s="38" t="str">
        <f ca="1">IF($B77="","",INDEX('Risk Register'!$U$6:$U$105,$B77))</f>
        <v/>
      </c>
      <c r="L77" s="38" t="str">
        <f ca="1">IF($B77="","",INDEX('Risk Register'!$Y$6:$Y$105,$B77))</f>
        <v/>
      </c>
      <c r="M77" s="38" t="str">
        <f ca="1">IF(K77="","",INDEX(Methodology!$B$48:$B$50,MATCH(K77,Methodology!$A$48:$A$50,0)))</f>
        <v/>
      </c>
      <c r="N77" s="45" t="str">
        <f ca="1">IF($B77="","",IF(INDEX('Risk Register'!$X$6:$X$105,$B77)="","",INDEX('Risk Register'!$X$6:$X$105,$B77)))</f>
        <v/>
      </c>
      <c r="O77" s="37" t="str">
        <f ca="1">IF(OR($B77="",N77=""),"",N77-Methodology!$B$4)</f>
        <v/>
      </c>
      <c r="P77" s="37" t="str">
        <f ca="1">IF($B77="","",INDEX('Risk Register'!$AC$6:$AC$105,$B77))</f>
        <v/>
      </c>
      <c r="Q77" s="44" t="str">
        <f t="shared" ca="1" si="5"/>
        <v/>
      </c>
    </row>
    <row r="78" spans="1:17" x14ac:dyDescent="0.35">
      <c r="A78" s="43">
        <v>72</v>
      </c>
      <c r="B78" s="43" t="str">
        <f ca="1">IFERROR(MATCH($A78,'Risk Register'!$AB$6:$AB$105,0),"")</f>
        <v/>
      </c>
      <c r="C78" s="38" t="str">
        <f ca="1">IF($B78="","",INDEX('Risk Register'!$A$6:$A$105,$B78))</f>
        <v/>
      </c>
      <c r="D78" s="44" t="str">
        <f ca="1">IF($B78="","",INDEX('Risk Register'!$B$6:$B$105,$B78))</f>
        <v/>
      </c>
      <c r="E78" s="38" t="str">
        <f ca="1">IF($B78="","",INDEX('Risk Register'!$D$6:$D$105,$B78))</f>
        <v/>
      </c>
      <c r="F78" s="38" t="str">
        <f ca="1">IF($B78="","",INDEX('Risk Register'!$E$6:$E$105,$B78))</f>
        <v/>
      </c>
      <c r="G78" s="37" t="str">
        <f ca="1">IF($B78="","",INDEX('Risk Register'!$O$6:$O$105,$B78))</f>
        <v/>
      </c>
      <c r="H78" s="37" t="str">
        <f ca="1">IF($B78="","",INDEX('Risk Register'!$S$6:$S$105,$B78))</f>
        <v/>
      </c>
      <c r="I78" s="37" t="str">
        <f ca="1">IF($B78="","",INDEX('Risk Register'!$T$6:$T$105,$B78))</f>
        <v/>
      </c>
      <c r="J78" s="37" t="str">
        <f t="shared" ca="1" si="4"/>
        <v/>
      </c>
      <c r="K78" s="38" t="str">
        <f ca="1">IF($B78="","",INDEX('Risk Register'!$U$6:$U$105,$B78))</f>
        <v/>
      </c>
      <c r="L78" s="38" t="str">
        <f ca="1">IF($B78="","",INDEX('Risk Register'!$Y$6:$Y$105,$B78))</f>
        <v/>
      </c>
      <c r="M78" s="38" t="str">
        <f ca="1">IF(K78="","",INDEX(Methodology!$B$48:$B$50,MATCH(K78,Methodology!$A$48:$A$50,0)))</f>
        <v/>
      </c>
      <c r="N78" s="45" t="str">
        <f ca="1">IF($B78="","",IF(INDEX('Risk Register'!$X$6:$X$105,$B78)="","",INDEX('Risk Register'!$X$6:$X$105,$B78)))</f>
        <v/>
      </c>
      <c r="O78" s="37" t="str">
        <f ca="1">IF(OR($B78="",N78=""),"",N78-Methodology!$B$4)</f>
        <v/>
      </c>
      <c r="P78" s="37" t="str">
        <f ca="1">IF($B78="","",INDEX('Risk Register'!$AC$6:$AC$105,$B78))</f>
        <v/>
      </c>
      <c r="Q78" s="44" t="str">
        <f t="shared" ca="1" si="5"/>
        <v/>
      </c>
    </row>
    <row r="79" spans="1:17" x14ac:dyDescent="0.35">
      <c r="A79" s="43">
        <v>73</v>
      </c>
      <c r="B79" s="43" t="str">
        <f ca="1">IFERROR(MATCH($A79,'Risk Register'!$AB$6:$AB$105,0),"")</f>
        <v/>
      </c>
      <c r="C79" s="38" t="str">
        <f ca="1">IF($B79="","",INDEX('Risk Register'!$A$6:$A$105,$B79))</f>
        <v/>
      </c>
      <c r="D79" s="44" t="str">
        <f ca="1">IF($B79="","",INDEX('Risk Register'!$B$6:$B$105,$B79))</f>
        <v/>
      </c>
      <c r="E79" s="38" t="str">
        <f ca="1">IF($B79="","",INDEX('Risk Register'!$D$6:$D$105,$B79))</f>
        <v/>
      </c>
      <c r="F79" s="38" t="str">
        <f ca="1">IF($B79="","",INDEX('Risk Register'!$E$6:$E$105,$B79))</f>
        <v/>
      </c>
      <c r="G79" s="37" t="str">
        <f ca="1">IF($B79="","",INDEX('Risk Register'!$O$6:$O$105,$B79))</f>
        <v/>
      </c>
      <c r="H79" s="37" t="str">
        <f ca="1">IF($B79="","",INDEX('Risk Register'!$S$6:$S$105,$B79))</f>
        <v/>
      </c>
      <c r="I79" s="37" t="str">
        <f ca="1">IF($B79="","",INDEX('Risk Register'!$T$6:$T$105,$B79))</f>
        <v/>
      </c>
      <c r="J79" s="37" t="str">
        <f t="shared" ca="1" si="4"/>
        <v/>
      </c>
      <c r="K79" s="38" t="str">
        <f ca="1">IF($B79="","",INDEX('Risk Register'!$U$6:$U$105,$B79))</f>
        <v/>
      </c>
      <c r="L79" s="38" t="str">
        <f ca="1">IF($B79="","",INDEX('Risk Register'!$Y$6:$Y$105,$B79))</f>
        <v/>
      </c>
      <c r="M79" s="38" t="str">
        <f ca="1">IF(K79="","",INDEX(Methodology!$B$48:$B$50,MATCH(K79,Methodology!$A$48:$A$50,0)))</f>
        <v/>
      </c>
      <c r="N79" s="45" t="str">
        <f ca="1">IF($B79="","",IF(INDEX('Risk Register'!$X$6:$X$105,$B79)="","",INDEX('Risk Register'!$X$6:$X$105,$B79)))</f>
        <v/>
      </c>
      <c r="O79" s="37" t="str">
        <f ca="1">IF(OR($B79="",N79=""),"",N79-Methodology!$B$4)</f>
        <v/>
      </c>
      <c r="P79" s="37" t="str">
        <f ca="1">IF($B79="","",INDEX('Risk Register'!$AC$6:$AC$105,$B79))</f>
        <v/>
      </c>
      <c r="Q79" s="44" t="str">
        <f t="shared" ca="1" si="5"/>
        <v/>
      </c>
    </row>
    <row r="80" spans="1:17" x14ac:dyDescent="0.35">
      <c r="A80" s="43">
        <v>74</v>
      </c>
      <c r="B80" s="43" t="str">
        <f ca="1">IFERROR(MATCH($A80,'Risk Register'!$AB$6:$AB$105,0),"")</f>
        <v/>
      </c>
      <c r="C80" s="38" t="str">
        <f ca="1">IF($B80="","",INDEX('Risk Register'!$A$6:$A$105,$B80))</f>
        <v/>
      </c>
      <c r="D80" s="44" t="str">
        <f ca="1">IF($B80="","",INDEX('Risk Register'!$B$6:$B$105,$B80))</f>
        <v/>
      </c>
      <c r="E80" s="38" t="str">
        <f ca="1">IF($B80="","",INDEX('Risk Register'!$D$6:$D$105,$B80))</f>
        <v/>
      </c>
      <c r="F80" s="38" t="str">
        <f ca="1">IF($B80="","",INDEX('Risk Register'!$E$6:$E$105,$B80))</f>
        <v/>
      </c>
      <c r="G80" s="37" t="str">
        <f ca="1">IF($B80="","",INDEX('Risk Register'!$O$6:$O$105,$B80))</f>
        <v/>
      </c>
      <c r="H80" s="37" t="str">
        <f ca="1">IF($B80="","",INDEX('Risk Register'!$S$6:$S$105,$B80))</f>
        <v/>
      </c>
      <c r="I80" s="37" t="str">
        <f ca="1">IF($B80="","",INDEX('Risk Register'!$T$6:$T$105,$B80))</f>
        <v/>
      </c>
      <c r="J80" s="37" t="str">
        <f t="shared" ca="1" si="4"/>
        <v/>
      </c>
      <c r="K80" s="38" t="str">
        <f ca="1">IF($B80="","",INDEX('Risk Register'!$U$6:$U$105,$B80))</f>
        <v/>
      </c>
      <c r="L80" s="38" t="str">
        <f ca="1">IF($B80="","",INDEX('Risk Register'!$Y$6:$Y$105,$B80))</f>
        <v/>
      </c>
      <c r="M80" s="38" t="str">
        <f ca="1">IF(K80="","",INDEX(Methodology!$B$48:$B$50,MATCH(K80,Methodology!$A$48:$A$50,0)))</f>
        <v/>
      </c>
      <c r="N80" s="45" t="str">
        <f ca="1">IF($B80="","",IF(INDEX('Risk Register'!$X$6:$X$105,$B80)="","",INDEX('Risk Register'!$X$6:$X$105,$B80)))</f>
        <v/>
      </c>
      <c r="O80" s="37" t="str">
        <f ca="1">IF(OR($B80="",N80=""),"",N80-Methodology!$B$4)</f>
        <v/>
      </c>
      <c r="P80" s="37" t="str">
        <f ca="1">IF($B80="","",INDEX('Risk Register'!$AC$6:$AC$105,$B80))</f>
        <v/>
      </c>
      <c r="Q80" s="44" t="str">
        <f t="shared" ca="1" si="5"/>
        <v/>
      </c>
    </row>
    <row r="81" spans="1:17" x14ac:dyDescent="0.35">
      <c r="A81" s="43">
        <v>75</v>
      </c>
      <c r="B81" s="43" t="str">
        <f ca="1">IFERROR(MATCH($A81,'Risk Register'!$AB$6:$AB$105,0),"")</f>
        <v/>
      </c>
      <c r="C81" s="38" t="str">
        <f ca="1">IF($B81="","",INDEX('Risk Register'!$A$6:$A$105,$B81))</f>
        <v/>
      </c>
      <c r="D81" s="44" t="str">
        <f ca="1">IF($B81="","",INDEX('Risk Register'!$B$6:$B$105,$B81))</f>
        <v/>
      </c>
      <c r="E81" s="38" t="str">
        <f ca="1">IF($B81="","",INDEX('Risk Register'!$D$6:$D$105,$B81))</f>
        <v/>
      </c>
      <c r="F81" s="38" t="str">
        <f ca="1">IF($B81="","",INDEX('Risk Register'!$E$6:$E$105,$B81))</f>
        <v/>
      </c>
      <c r="G81" s="37" t="str">
        <f ca="1">IF($B81="","",INDEX('Risk Register'!$O$6:$O$105,$B81))</f>
        <v/>
      </c>
      <c r="H81" s="37" t="str">
        <f ca="1">IF($B81="","",INDEX('Risk Register'!$S$6:$S$105,$B81))</f>
        <v/>
      </c>
      <c r="I81" s="37" t="str">
        <f ca="1">IF($B81="","",INDEX('Risk Register'!$T$6:$T$105,$B81))</f>
        <v/>
      </c>
      <c r="J81" s="37" t="str">
        <f t="shared" ca="1" si="4"/>
        <v/>
      </c>
      <c r="K81" s="38" t="str">
        <f ca="1">IF($B81="","",INDEX('Risk Register'!$U$6:$U$105,$B81))</f>
        <v/>
      </c>
      <c r="L81" s="38" t="str">
        <f ca="1">IF($B81="","",INDEX('Risk Register'!$Y$6:$Y$105,$B81))</f>
        <v/>
      </c>
      <c r="M81" s="38" t="str">
        <f ca="1">IF(K81="","",INDEX(Methodology!$B$48:$B$50,MATCH(K81,Methodology!$A$48:$A$50,0)))</f>
        <v/>
      </c>
      <c r="N81" s="45" t="str">
        <f ca="1">IF($B81="","",IF(INDEX('Risk Register'!$X$6:$X$105,$B81)="","",INDEX('Risk Register'!$X$6:$X$105,$B81)))</f>
        <v/>
      </c>
      <c r="O81" s="37" t="str">
        <f ca="1">IF(OR($B81="",N81=""),"",N81-Methodology!$B$4)</f>
        <v/>
      </c>
      <c r="P81" s="37" t="str">
        <f ca="1">IF($B81="","",INDEX('Risk Register'!$AC$6:$AC$105,$B81))</f>
        <v/>
      </c>
      <c r="Q81" s="44" t="str">
        <f t="shared" ca="1" si="5"/>
        <v/>
      </c>
    </row>
    <row r="82" spans="1:17" x14ac:dyDescent="0.35">
      <c r="A82" s="43">
        <v>76</v>
      </c>
      <c r="B82" s="43" t="str">
        <f ca="1">IFERROR(MATCH($A82,'Risk Register'!$AB$6:$AB$105,0),"")</f>
        <v/>
      </c>
      <c r="C82" s="38" t="str">
        <f ca="1">IF($B82="","",INDEX('Risk Register'!$A$6:$A$105,$B82))</f>
        <v/>
      </c>
      <c r="D82" s="44" t="str">
        <f ca="1">IF($B82="","",INDEX('Risk Register'!$B$6:$B$105,$B82))</f>
        <v/>
      </c>
      <c r="E82" s="38" t="str">
        <f ca="1">IF($B82="","",INDEX('Risk Register'!$D$6:$D$105,$B82))</f>
        <v/>
      </c>
      <c r="F82" s="38" t="str">
        <f ca="1">IF($B82="","",INDEX('Risk Register'!$E$6:$E$105,$B82))</f>
        <v/>
      </c>
      <c r="G82" s="37" t="str">
        <f ca="1">IF($B82="","",INDEX('Risk Register'!$O$6:$O$105,$B82))</f>
        <v/>
      </c>
      <c r="H82" s="37" t="str">
        <f ca="1">IF($B82="","",INDEX('Risk Register'!$S$6:$S$105,$B82))</f>
        <v/>
      </c>
      <c r="I82" s="37" t="str">
        <f ca="1">IF($B82="","",INDEX('Risk Register'!$T$6:$T$105,$B82))</f>
        <v/>
      </c>
      <c r="J82" s="37" t="str">
        <f t="shared" ca="1" si="4"/>
        <v/>
      </c>
      <c r="K82" s="38" t="str">
        <f ca="1">IF($B82="","",INDEX('Risk Register'!$U$6:$U$105,$B82))</f>
        <v/>
      </c>
      <c r="L82" s="38" t="str">
        <f ca="1">IF($B82="","",INDEX('Risk Register'!$Y$6:$Y$105,$B82))</f>
        <v/>
      </c>
      <c r="M82" s="38" t="str">
        <f ca="1">IF(K82="","",INDEX(Methodology!$B$48:$B$50,MATCH(K82,Methodology!$A$48:$A$50,0)))</f>
        <v/>
      </c>
      <c r="N82" s="45" t="str">
        <f ca="1">IF($B82="","",IF(INDEX('Risk Register'!$X$6:$X$105,$B82)="","",INDEX('Risk Register'!$X$6:$X$105,$B82)))</f>
        <v/>
      </c>
      <c r="O82" s="37" t="str">
        <f ca="1">IF(OR($B82="",N82=""),"",N82-Methodology!$B$4)</f>
        <v/>
      </c>
      <c r="P82" s="37" t="str">
        <f ca="1">IF($B82="","",INDEX('Risk Register'!$AC$6:$AC$105,$B82))</f>
        <v/>
      </c>
      <c r="Q82" s="44" t="str">
        <f t="shared" ca="1" si="5"/>
        <v/>
      </c>
    </row>
    <row r="83" spans="1:17" x14ac:dyDescent="0.35">
      <c r="A83" s="43">
        <v>77</v>
      </c>
      <c r="B83" s="43" t="str">
        <f ca="1">IFERROR(MATCH($A83,'Risk Register'!$AB$6:$AB$105,0),"")</f>
        <v/>
      </c>
      <c r="C83" s="38" t="str">
        <f ca="1">IF($B83="","",INDEX('Risk Register'!$A$6:$A$105,$B83))</f>
        <v/>
      </c>
      <c r="D83" s="44" t="str">
        <f ca="1">IF($B83="","",INDEX('Risk Register'!$B$6:$B$105,$B83))</f>
        <v/>
      </c>
      <c r="E83" s="38" t="str">
        <f ca="1">IF($B83="","",INDEX('Risk Register'!$D$6:$D$105,$B83))</f>
        <v/>
      </c>
      <c r="F83" s="38" t="str">
        <f ca="1">IF($B83="","",INDEX('Risk Register'!$E$6:$E$105,$B83))</f>
        <v/>
      </c>
      <c r="G83" s="37" t="str">
        <f ca="1">IF($B83="","",INDEX('Risk Register'!$O$6:$O$105,$B83))</f>
        <v/>
      </c>
      <c r="H83" s="37" t="str">
        <f ca="1">IF($B83="","",INDEX('Risk Register'!$S$6:$S$105,$B83))</f>
        <v/>
      </c>
      <c r="I83" s="37" t="str">
        <f ca="1">IF($B83="","",INDEX('Risk Register'!$T$6:$T$105,$B83))</f>
        <v/>
      </c>
      <c r="J83" s="37" t="str">
        <f t="shared" ca="1" si="4"/>
        <v/>
      </c>
      <c r="K83" s="38" t="str">
        <f ca="1">IF($B83="","",INDEX('Risk Register'!$U$6:$U$105,$B83))</f>
        <v/>
      </c>
      <c r="L83" s="38" t="str">
        <f ca="1">IF($B83="","",INDEX('Risk Register'!$Y$6:$Y$105,$B83))</f>
        <v/>
      </c>
      <c r="M83" s="38" t="str">
        <f ca="1">IF(K83="","",INDEX(Methodology!$B$48:$B$50,MATCH(K83,Methodology!$A$48:$A$50,0)))</f>
        <v/>
      </c>
      <c r="N83" s="45" t="str">
        <f ca="1">IF($B83="","",IF(INDEX('Risk Register'!$X$6:$X$105,$B83)="","",INDEX('Risk Register'!$X$6:$X$105,$B83)))</f>
        <v/>
      </c>
      <c r="O83" s="37" t="str">
        <f ca="1">IF(OR($B83="",N83=""),"",N83-Methodology!$B$4)</f>
        <v/>
      </c>
      <c r="P83" s="37" t="str">
        <f ca="1">IF($B83="","",INDEX('Risk Register'!$AC$6:$AC$105,$B83))</f>
        <v/>
      </c>
      <c r="Q83" s="44" t="str">
        <f t="shared" ca="1" si="5"/>
        <v/>
      </c>
    </row>
    <row r="84" spans="1:17" x14ac:dyDescent="0.35">
      <c r="A84" s="43">
        <v>78</v>
      </c>
      <c r="B84" s="43" t="str">
        <f ca="1">IFERROR(MATCH($A84,'Risk Register'!$AB$6:$AB$105,0),"")</f>
        <v/>
      </c>
      <c r="C84" s="38" t="str">
        <f ca="1">IF($B84="","",INDEX('Risk Register'!$A$6:$A$105,$B84))</f>
        <v/>
      </c>
      <c r="D84" s="44" t="str">
        <f ca="1">IF($B84="","",INDEX('Risk Register'!$B$6:$B$105,$B84))</f>
        <v/>
      </c>
      <c r="E84" s="38" t="str">
        <f ca="1">IF($B84="","",INDEX('Risk Register'!$D$6:$D$105,$B84))</f>
        <v/>
      </c>
      <c r="F84" s="38" t="str">
        <f ca="1">IF($B84="","",INDEX('Risk Register'!$E$6:$E$105,$B84))</f>
        <v/>
      </c>
      <c r="G84" s="37" t="str">
        <f ca="1">IF($B84="","",INDEX('Risk Register'!$O$6:$O$105,$B84))</f>
        <v/>
      </c>
      <c r="H84" s="37" t="str">
        <f ca="1">IF($B84="","",INDEX('Risk Register'!$S$6:$S$105,$B84))</f>
        <v/>
      </c>
      <c r="I84" s="37" t="str">
        <f ca="1">IF($B84="","",INDEX('Risk Register'!$T$6:$T$105,$B84))</f>
        <v/>
      </c>
      <c r="J84" s="37" t="str">
        <f t="shared" ca="1" si="4"/>
        <v/>
      </c>
      <c r="K84" s="38" t="str">
        <f ca="1">IF($B84="","",INDEX('Risk Register'!$U$6:$U$105,$B84))</f>
        <v/>
      </c>
      <c r="L84" s="38" t="str">
        <f ca="1">IF($B84="","",INDEX('Risk Register'!$Y$6:$Y$105,$B84))</f>
        <v/>
      </c>
      <c r="M84" s="38" t="str">
        <f ca="1">IF(K84="","",INDEX(Methodology!$B$48:$B$50,MATCH(K84,Methodology!$A$48:$A$50,0)))</f>
        <v/>
      </c>
      <c r="N84" s="45" t="str">
        <f ca="1">IF($B84="","",IF(INDEX('Risk Register'!$X$6:$X$105,$B84)="","",INDEX('Risk Register'!$X$6:$X$105,$B84)))</f>
        <v/>
      </c>
      <c r="O84" s="37" t="str">
        <f ca="1">IF(OR($B84="",N84=""),"",N84-Methodology!$B$4)</f>
        <v/>
      </c>
      <c r="P84" s="37" t="str">
        <f ca="1">IF($B84="","",INDEX('Risk Register'!$AC$6:$AC$105,$B84))</f>
        <v/>
      </c>
      <c r="Q84" s="44" t="str">
        <f t="shared" ca="1" si="5"/>
        <v/>
      </c>
    </row>
    <row r="85" spans="1:17" x14ac:dyDescent="0.35">
      <c r="A85" s="43">
        <v>79</v>
      </c>
      <c r="B85" s="43" t="str">
        <f ca="1">IFERROR(MATCH($A85,'Risk Register'!$AB$6:$AB$105,0),"")</f>
        <v/>
      </c>
      <c r="C85" s="38" t="str">
        <f ca="1">IF($B85="","",INDEX('Risk Register'!$A$6:$A$105,$B85))</f>
        <v/>
      </c>
      <c r="D85" s="44" t="str">
        <f ca="1">IF($B85="","",INDEX('Risk Register'!$B$6:$B$105,$B85))</f>
        <v/>
      </c>
      <c r="E85" s="38" t="str">
        <f ca="1">IF($B85="","",INDEX('Risk Register'!$D$6:$D$105,$B85))</f>
        <v/>
      </c>
      <c r="F85" s="38" t="str">
        <f ca="1">IF($B85="","",INDEX('Risk Register'!$E$6:$E$105,$B85))</f>
        <v/>
      </c>
      <c r="G85" s="37" t="str">
        <f ca="1">IF($B85="","",INDEX('Risk Register'!$O$6:$O$105,$B85))</f>
        <v/>
      </c>
      <c r="H85" s="37" t="str">
        <f ca="1">IF($B85="","",INDEX('Risk Register'!$S$6:$S$105,$B85))</f>
        <v/>
      </c>
      <c r="I85" s="37" t="str">
        <f ca="1">IF($B85="","",INDEX('Risk Register'!$T$6:$T$105,$B85))</f>
        <v/>
      </c>
      <c r="J85" s="37" t="str">
        <f t="shared" ca="1" si="4"/>
        <v/>
      </c>
      <c r="K85" s="38" t="str">
        <f ca="1">IF($B85="","",INDEX('Risk Register'!$U$6:$U$105,$B85))</f>
        <v/>
      </c>
      <c r="L85" s="38" t="str">
        <f ca="1">IF($B85="","",INDEX('Risk Register'!$Y$6:$Y$105,$B85))</f>
        <v/>
      </c>
      <c r="M85" s="38" t="str">
        <f ca="1">IF(K85="","",INDEX(Methodology!$B$48:$B$50,MATCH(K85,Methodology!$A$48:$A$50,0)))</f>
        <v/>
      </c>
      <c r="N85" s="45" t="str">
        <f ca="1">IF($B85="","",IF(INDEX('Risk Register'!$X$6:$X$105,$B85)="","",INDEX('Risk Register'!$X$6:$X$105,$B85)))</f>
        <v/>
      </c>
      <c r="O85" s="37" t="str">
        <f ca="1">IF(OR($B85="",N85=""),"",N85-Methodology!$B$4)</f>
        <v/>
      </c>
      <c r="P85" s="37" t="str">
        <f ca="1">IF($B85="","",INDEX('Risk Register'!$AC$6:$AC$105,$B85))</f>
        <v/>
      </c>
      <c r="Q85" s="44" t="str">
        <f t="shared" ca="1" si="5"/>
        <v/>
      </c>
    </row>
    <row r="86" spans="1:17" x14ac:dyDescent="0.35">
      <c r="A86" s="43">
        <v>80</v>
      </c>
      <c r="B86" s="43" t="str">
        <f ca="1">IFERROR(MATCH($A86,'Risk Register'!$AB$6:$AB$105,0),"")</f>
        <v/>
      </c>
      <c r="C86" s="38" t="str">
        <f ca="1">IF($B86="","",INDEX('Risk Register'!$A$6:$A$105,$B86))</f>
        <v/>
      </c>
      <c r="D86" s="44" t="str">
        <f ca="1">IF($B86="","",INDEX('Risk Register'!$B$6:$B$105,$B86))</f>
        <v/>
      </c>
      <c r="E86" s="38" t="str">
        <f ca="1">IF($B86="","",INDEX('Risk Register'!$D$6:$D$105,$B86))</f>
        <v/>
      </c>
      <c r="F86" s="38" t="str">
        <f ca="1">IF($B86="","",INDEX('Risk Register'!$E$6:$E$105,$B86))</f>
        <v/>
      </c>
      <c r="G86" s="37" t="str">
        <f ca="1">IF($B86="","",INDEX('Risk Register'!$O$6:$O$105,$B86))</f>
        <v/>
      </c>
      <c r="H86" s="37" t="str">
        <f ca="1">IF($B86="","",INDEX('Risk Register'!$S$6:$S$105,$B86))</f>
        <v/>
      </c>
      <c r="I86" s="37" t="str">
        <f ca="1">IF($B86="","",INDEX('Risk Register'!$T$6:$T$105,$B86))</f>
        <v/>
      </c>
      <c r="J86" s="37" t="str">
        <f t="shared" ca="1" si="4"/>
        <v/>
      </c>
      <c r="K86" s="38" t="str">
        <f ca="1">IF($B86="","",INDEX('Risk Register'!$U$6:$U$105,$B86))</f>
        <v/>
      </c>
      <c r="L86" s="38" t="str">
        <f ca="1">IF($B86="","",INDEX('Risk Register'!$Y$6:$Y$105,$B86))</f>
        <v/>
      </c>
      <c r="M86" s="38" t="str">
        <f ca="1">IF(K86="","",INDEX(Methodology!$B$48:$B$50,MATCH(K86,Methodology!$A$48:$A$50,0)))</f>
        <v/>
      </c>
      <c r="N86" s="45" t="str">
        <f ca="1">IF($B86="","",IF(INDEX('Risk Register'!$X$6:$X$105,$B86)="","",INDEX('Risk Register'!$X$6:$X$105,$B86)))</f>
        <v/>
      </c>
      <c r="O86" s="37" t="str">
        <f ca="1">IF(OR($B86="",N86=""),"",N86-Methodology!$B$4)</f>
        <v/>
      </c>
      <c r="P86" s="37" t="str">
        <f ca="1">IF($B86="","",INDEX('Risk Register'!$AC$6:$AC$105,$B86))</f>
        <v/>
      </c>
      <c r="Q86" s="44" t="str">
        <f t="shared" ca="1" si="5"/>
        <v/>
      </c>
    </row>
    <row r="87" spans="1:17" x14ac:dyDescent="0.35">
      <c r="A87" s="43">
        <v>81</v>
      </c>
      <c r="B87" s="43" t="str">
        <f ca="1">IFERROR(MATCH($A87,'Risk Register'!$AB$6:$AB$105,0),"")</f>
        <v/>
      </c>
      <c r="C87" s="38" t="str">
        <f ca="1">IF($B87="","",INDEX('Risk Register'!$A$6:$A$105,$B87))</f>
        <v/>
      </c>
      <c r="D87" s="44" t="str">
        <f ca="1">IF($B87="","",INDEX('Risk Register'!$B$6:$B$105,$B87))</f>
        <v/>
      </c>
      <c r="E87" s="38" t="str">
        <f ca="1">IF($B87="","",INDEX('Risk Register'!$D$6:$D$105,$B87))</f>
        <v/>
      </c>
      <c r="F87" s="38" t="str">
        <f ca="1">IF($B87="","",INDEX('Risk Register'!$E$6:$E$105,$B87))</f>
        <v/>
      </c>
      <c r="G87" s="37" t="str">
        <f ca="1">IF($B87="","",INDEX('Risk Register'!$O$6:$O$105,$B87))</f>
        <v/>
      </c>
      <c r="H87" s="37" t="str">
        <f ca="1">IF($B87="","",INDEX('Risk Register'!$S$6:$S$105,$B87))</f>
        <v/>
      </c>
      <c r="I87" s="37" t="str">
        <f ca="1">IF($B87="","",INDEX('Risk Register'!$T$6:$T$105,$B87))</f>
        <v/>
      </c>
      <c r="J87" s="37" t="str">
        <f t="shared" ca="1" si="4"/>
        <v/>
      </c>
      <c r="K87" s="38" t="str">
        <f ca="1">IF($B87="","",INDEX('Risk Register'!$U$6:$U$105,$B87))</f>
        <v/>
      </c>
      <c r="L87" s="38" t="str">
        <f ca="1">IF($B87="","",INDEX('Risk Register'!$Y$6:$Y$105,$B87))</f>
        <v/>
      </c>
      <c r="M87" s="38" t="str">
        <f ca="1">IF(K87="","",INDEX(Methodology!$B$48:$B$50,MATCH(K87,Methodology!$A$48:$A$50,0)))</f>
        <v/>
      </c>
      <c r="N87" s="45" t="str">
        <f ca="1">IF($B87="","",IF(INDEX('Risk Register'!$X$6:$X$105,$B87)="","",INDEX('Risk Register'!$X$6:$X$105,$B87)))</f>
        <v/>
      </c>
      <c r="O87" s="37" t="str">
        <f ca="1">IF(OR($B87="",N87=""),"",N87-Methodology!$B$4)</f>
        <v/>
      </c>
      <c r="P87" s="37" t="str">
        <f ca="1">IF($B87="","",INDEX('Risk Register'!$AC$6:$AC$105,$B87))</f>
        <v/>
      </c>
      <c r="Q87" s="44" t="str">
        <f t="shared" ca="1" si="5"/>
        <v/>
      </c>
    </row>
    <row r="88" spans="1:17" x14ac:dyDescent="0.35">
      <c r="A88" s="43">
        <v>82</v>
      </c>
      <c r="B88" s="43" t="str">
        <f ca="1">IFERROR(MATCH($A88,'Risk Register'!$AB$6:$AB$105,0),"")</f>
        <v/>
      </c>
      <c r="C88" s="38" t="str">
        <f ca="1">IF($B88="","",INDEX('Risk Register'!$A$6:$A$105,$B88))</f>
        <v/>
      </c>
      <c r="D88" s="44" t="str">
        <f ca="1">IF($B88="","",INDEX('Risk Register'!$B$6:$B$105,$B88))</f>
        <v/>
      </c>
      <c r="E88" s="38" t="str">
        <f ca="1">IF($B88="","",INDEX('Risk Register'!$D$6:$D$105,$B88))</f>
        <v/>
      </c>
      <c r="F88" s="38" t="str">
        <f ca="1">IF($B88="","",INDEX('Risk Register'!$E$6:$E$105,$B88))</f>
        <v/>
      </c>
      <c r="G88" s="37" t="str">
        <f ca="1">IF($B88="","",INDEX('Risk Register'!$O$6:$O$105,$B88))</f>
        <v/>
      </c>
      <c r="H88" s="37" t="str">
        <f ca="1">IF($B88="","",INDEX('Risk Register'!$S$6:$S$105,$B88))</f>
        <v/>
      </c>
      <c r="I88" s="37" t="str">
        <f ca="1">IF($B88="","",INDEX('Risk Register'!$T$6:$T$105,$B88))</f>
        <v/>
      </c>
      <c r="J88" s="37" t="str">
        <f t="shared" ca="1" si="4"/>
        <v/>
      </c>
      <c r="K88" s="38" t="str">
        <f ca="1">IF($B88="","",INDEX('Risk Register'!$U$6:$U$105,$B88))</f>
        <v/>
      </c>
      <c r="L88" s="38" t="str">
        <f ca="1">IF($B88="","",INDEX('Risk Register'!$Y$6:$Y$105,$B88))</f>
        <v/>
      </c>
      <c r="M88" s="38" t="str">
        <f ca="1">IF(K88="","",INDEX(Methodology!$B$48:$B$50,MATCH(K88,Methodology!$A$48:$A$50,0)))</f>
        <v/>
      </c>
      <c r="N88" s="45" t="str">
        <f ca="1">IF($B88="","",IF(INDEX('Risk Register'!$X$6:$X$105,$B88)="","",INDEX('Risk Register'!$X$6:$X$105,$B88)))</f>
        <v/>
      </c>
      <c r="O88" s="37" t="str">
        <f ca="1">IF(OR($B88="",N88=""),"",N88-Methodology!$B$4)</f>
        <v/>
      </c>
      <c r="P88" s="37" t="str">
        <f ca="1">IF($B88="","",INDEX('Risk Register'!$AC$6:$AC$105,$B88))</f>
        <v/>
      </c>
      <c r="Q88" s="44" t="str">
        <f t="shared" ca="1" si="5"/>
        <v/>
      </c>
    </row>
    <row r="89" spans="1:17" x14ac:dyDescent="0.35">
      <c r="A89" s="43">
        <v>83</v>
      </c>
      <c r="B89" s="43" t="str">
        <f ca="1">IFERROR(MATCH($A89,'Risk Register'!$AB$6:$AB$105,0),"")</f>
        <v/>
      </c>
      <c r="C89" s="38" t="str">
        <f ca="1">IF($B89="","",INDEX('Risk Register'!$A$6:$A$105,$B89))</f>
        <v/>
      </c>
      <c r="D89" s="44" t="str">
        <f ca="1">IF($B89="","",INDEX('Risk Register'!$B$6:$B$105,$B89))</f>
        <v/>
      </c>
      <c r="E89" s="38" t="str">
        <f ca="1">IF($B89="","",INDEX('Risk Register'!$D$6:$D$105,$B89))</f>
        <v/>
      </c>
      <c r="F89" s="38" t="str">
        <f ca="1">IF($B89="","",INDEX('Risk Register'!$E$6:$E$105,$B89))</f>
        <v/>
      </c>
      <c r="G89" s="37" t="str">
        <f ca="1">IF($B89="","",INDEX('Risk Register'!$O$6:$O$105,$B89))</f>
        <v/>
      </c>
      <c r="H89" s="37" t="str">
        <f ca="1">IF($B89="","",INDEX('Risk Register'!$S$6:$S$105,$B89))</f>
        <v/>
      </c>
      <c r="I89" s="37" t="str">
        <f ca="1">IF($B89="","",INDEX('Risk Register'!$T$6:$T$105,$B89))</f>
        <v/>
      </c>
      <c r="J89" s="37" t="str">
        <f t="shared" ca="1" si="4"/>
        <v/>
      </c>
      <c r="K89" s="38" t="str">
        <f ca="1">IF($B89="","",INDEX('Risk Register'!$U$6:$U$105,$B89))</f>
        <v/>
      </c>
      <c r="L89" s="38" t="str">
        <f ca="1">IF($B89="","",INDEX('Risk Register'!$Y$6:$Y$105,$B89))</f>
        <v/>
      </c>
      <c r="M89" s="38" t="str">
        <f ca="1">IF(K89="","",INDEX(Methodology!$B$48:$B$50,MATCH(K89,Methodology!$A$48:$A$50,0)))</f>
        <v/>
      </c>
      <c r="N89" s="45" t="str">
        <f ca="1">IF($B89="","",IF(INDEX('Risk Register'!$X$6:$X$105,$B89)="","",INDEX('Risk Register'!$X$6:$X$105,$B89)))</f>
        <v/>
      </c>
      <c r="O89" s="37" t="str">
        <f ca="1">IF(OR($B89="",N89=""),"",N89-Methodology!$B$4)</f>
        <v/>
      </c>
      <c r="P89" s="37" t="str">
        <f ca="1">IF($B89="","",INDEX('Risk Register'!$AC$6:$AC$105,$B89))</f>
        <v/>
      </c>
      <c r="Q89" s="44" t="str">
        <f t="shared" ca="1" si="5"/>
        <v/>
      </c>
    </row>
    <row r="90" spans="1:17" x14ac:dyDescent="0.35">
      <c r="A90" s="43">
        <v>84</v>
      </c>
      <c r="B90" s="43" t="str">
        <f ca="1">IFERROR(MATCH($A90,'Risk Register'!$AB$6:$AB$105,0),"")</f>
        <v/>
      </c>
      <c r="C90" s="38" t="str">
        <f ca="1">IF($B90="","",INDEX('Risk Register'!$A$6:$A$105,$B90))</f>
        <v/>
      </c>
      <c r="D90" s="44" t="str">
        <f ca="1">IF($B90="","",INDEX('Risk Register'!$B$6:$B$105,$B90))</f>
        <v/>
      </c>
      <c r="E90" s="38" t="str">
        <f ca="1">IF($B90="","",INDEX('Risk Register'!$D$6:$D$105,$B90))</f>
        <v/>
      </c>
      <c r="F90" s="38" t="str">
        <f ca="1">IF($B90="","",INDEX('Risk Register'!$E$6:$E$105,$B90))</f>
        <v/>
      </c>
      <c r="G90" s="37" t="str">
        <f ca="1">IF($B90="","",INDEX('Risk Register'!$O$6:$O$105,$B90))</f>
        <v/>
      </c>
      <c r="H90" s="37" t="str">
        <f ca="1">IF($B90="","",INDEX('Risk Register'!$S$6:$S$105,$B90))</f>
        <v/>
      </c>
      <c r="I90" s="37" t="str">
        <f ca="1">IF($B90="","",INDEX('Risk Register'!$T$6:$T$105,$B90))</f>
        <v/>
      </c>
      <c r="J90" s="37" t="str">
        <f t="shared" ca="1" si="4"/>
        <v/>
      </c>
      <c r="K90" s="38" t="str">
        <f ca="1">IF($B90="","",INDEX('Risk Register'!$U$6:$U$105,$B90))</f>
        <v/>
      </c>
      <c r="L90" s="38" t="str">
        <f ca="1">IF($B90="","",INDEX('Risk Register'!$Y$6:$Y$105,$B90))</f>
        <v/>
      </c>
      <c r="M90" s="38" t="str">
        <f ca="1">IF(K90="","",INDEX(Methodology!$B$48:$B$50,MATCH(K90,Methodology!$A$48:$A$50,0)))</f>
        <v/>
      </c>
      <c r="N90" s="45" t="str">
        <f ca="1">IF($B90="","",IF(INDEX('Risk Register'!$X$6:$X$105,$B90)="","",INDEX('Risk Register'!$X$6:$X$105,$B90)))</f>
        <v/>
      </c>
      <c r="O90" s="37" t="str">
        <f ca="1">IF(OR($B90="",N90=""),"",N90-Methodology!$B$4)</f>
        <v/>
      </c>
      <c r="P90" s="37" t="str">
        <f ca="1">IF($B90="","",INDEX('Risk Register'!$AC$6:$AC$105,$B90))</f>
        <v/>
      </c>
      <c r="Q90" s="44" t="str">
        <f t="shared" ca="1" si="5"/>
        <v/>
      </c>
    </row>
    <row r="91" spans="1:17" x14ac:dyDescent="0.35">
      <c r="A91" s="43">
        <v>85</v>
      </c>
      <c r="B91" s="43" t="str">
        <f ca="1">IFERROR(MATCH($A91,'Risk Register'!$AB$6:$AB$105,0),"")</f>
        <v/>
      </c>
      <c r="C91" s="38" t="str">
        <f ca="1">IF($B91="","",INDEX('Risk Register'!$A$6:$A$105,$B91))</f>
        <v/>
      </c>
      <c r="D91" s="44" t="str">
        <f ca="1">IF($B91="","",INDEX('Risk Register'!$B$6:$B$105,$B91))</f>
        <v/>
      </c>
      <c r="E91" s="38" t="str">
        <f ca="1">IF($B91="","",INDEX('Risk Register'!$D$6:$D$105,$B91))</f>
        <v/>
      </c>
      <c r="F91" s="38" t="str">
        <f ca="1">IF($B91="","",INDEX('Risk Register'!$E$6:$E$105,$B91))</f>
        <v/>
      </c>
      <c r="G91" s="37" t="str">
        <f ca="1">IF($B91="","",INDEX('Risk Register'!$O$6:$O$105,$B91))</f>
        <v/>
      </c>
      <c r="H91" s="37" t="str">
        <f ca="1">IF($B91="","",INDEX('Risk Register'!$S$6:$S$105,$B91))</f>
        <v/>
      </c>
      <c r="I91" s="37" t="str">
        <f ca="1">IF($B91="","",INDEX('Risk Register'!$T$6:$T$105,$B91))</f>
        <v/>
      </c>
      <c r="J91" s="37" t="str">
        <f t="shared" ca="1" si="4"/>
        <v/>
      </c>
      <c r="K91" s="38" t="str">
        <f ca="1">IF($B91="","",INDEX('Risk Register'!$U$6:$U$105,$B91))</f>
        <v/>
      </c>
      <c r="L91" s="38" t="str">
        <f ca="1">IF($B91="","",INDEX('Risk Register'!$Y$6:$Y$105,$B91))</f>
        <v/>
      </c>
      <c r="M91" s="38" t="str">
        <f ca="1">IF(K91="","",INDEX(Methodology!$B$48:$B$50,MATCH(K91,Methodology!$A$48:$A$50,0)))</f>
        <v/>
      </c>
      <c r="N91" s="45" t="str">
        <f ca="1">IF($B91="","",IF(INDEX('Risk Register'!$X$6:$X$105,$B91)="","",INDEX('Risk Register'!$X$6:$X$105,$B91)))</f>
        <v/>
      </c>
      <c r="O91" s="37" t="str">
        <f ca="1">IF(OR($B91="",N91=""),"",N91-Methodology!$B$4)</f>
        <v/>
      </c>
      <c r="P91" s="37" t="str">
        <f ca="1">IF($B91="","",INDEX('Risk Register'!$AC$6:$AC$105,$B91))</f>
        <v/>
      </c>
      <c r="Q91" s="44" t="str">
        <f t="shared" ca="1" si="5"/>
        <v/>
      </c>
    </row>
    <row r="92" spans="1:17" x14ac:dyDescent="0.35">
      <c r="A92" s="43">
        <v>86</v>
      </c>
      <c r="B92" s="43" t="str">
        <f ca="1">IFERROR(MATCH($A92,'Risk Register'!$AB$6:$AB$105,0),"")</f>
        <v/>
      </c>
      <c r="C92" s="38" t="str">
        <f ca="1">IF($B92="","",INDEX('Risk Register'!$A$6:$A$105,$B92))</f>
        <v/>
      </c>
      <c r="D92" s="44" t="str">
        <f ca="1">IF($B92="","",INDEX('Risk Register'!$B$6:$B$105,$B92))</f>
        <v/>
      </c>
      <c r="E92" s="38" t="str">
        <f ca="1">IF($B92="","",INDEX('Risk Register'!$D$6:$D$105,$B92))</f>
        <v/>
      </c>
      <c r="F92" s="38" t="str">
        <f ca="1">IF($B92="","",INDEX('Risk Register'!$E$6:$E$105,$B92))</f>
        <v/>
      </c>
      <c r="G92" s="37" t="str">
        <f ca="1">IF($B92="","",INDEX('Risk Register'!$O$6:$O$105,$B92))</f>
        <v/>
      </c>
      <c r="H92" s="37" t="str">
        <f ca="1">IF($B92="","",INDEX('Risk Register'!$S$6:$S$105,$B92))</f>
        <v/>
      </c>
      <c r="I92" s="37" t="str">
        <f ca="1">IF($B92="","",INDEX('Risk Register'!$T$6:$T$105,$B92))</f>
        <v/>
      </c>
      <c r="J92" s="37" t="str">
        <f t="shared" ca="1" si="4"/>
        <v/>
      </c>
      <c r="K92" s="38" t="str">
        <f ca="1">IF($B92="","",INDEX('Risk Register'!$U$6:$U$105,$B92))</f>
        <v/>
      </c>
      <c r="L92" s="38" t="str">
        <f ca="1">IF($B92="","",INDEX('Risk Register'!$Y$6:$Y$105,$B92))</f>
        <v/>
      </c>
      <c r="M92" s="38" t="str">
        <f ca="1">IF(K92="","",INDEX(Methodology!$B$48:$B$50,MATCH(K92,Methodology!$A$48:$A$50,0)))</f>
        <v/>
      </c>
      <c r="N92" s="45" t="str">
        <f ca="1">IF($B92="","",IF(INDEX('Risk Register'!$X$6:$X$105,$B92)="","",INDEX('Risk Register'!$X$6:$X$105,$B92)))</f>
        <v/>
      </c>
      <c r="O92" s="37" t="str">
        <f ca="1">IF(OR($B92="",N92=""),"",N92-Methodology!$B$4)</f>
        <v/>
      </c>
      <c r="P92" s="37" t="str">
        <f ca="1">IF($B92="","",INDEX('Risk Register'!$AC$6:$AC$105,$B92))</f>
        <v/>
      </c>
      <c r="Q92" s="44" t="str">
        <f t="shared" ca="1" si="5"/>
        <v/>
      </c>
    </row>
    <row r="93" spans="1:17" x14ac:dyDescent="0.35">
      <c r="A93" s="43">
        <v>87</v>
      </c>
      <c r="B93" s="43" t="str">
        <f ca="1">IFERROR(MATCH($A93,'Risk Register'!$AB$6:$AB$105,0),"")</f>
        <v/>
      </c>
      <c r="C93" s="38" t="str">
        <f ca="1">IF($B93="","",INDEX('Risk Register'!$A$6:$A$105,$B93))</f>
        <v/>
      </c>
      <c r="D93" s="44" t="str">
        <f ca="1">IF($B93="","",INDEX('Risk Register'!$B$6:$B$105,$B93))</f>
        <v/>
      </c>
      <c r="E93" s="38" t="str">
        <f ca="1">IF($B93="","",INDEX('Risk Register'!$D$6:$D$105,$B93))</f>
        <v/>
      </c>
      <c r="F93" s="38" t="str">
        <f ca="1">IF($B93="","",INDEX('Risk Register'!$E$6:$E$105,$B93))</f>
        <v/>
      </c>
      <c r="G93" s="37" t="str">
        <f ca="1">IF($B93="","",INDEX('Risk Register'!$O$6:$O$105,$B93))</f>
        <v/>
      </c>
      <c r="H93" s="37" t="str">
        <f ca="1">IF($B93="","",INDEX('Risk Register'!$S$6:$S$105,$B93))</f>
        <v/>
      </c>
      <c r="I93" s="37" t="str">
        <f ca="1">IF($B93="","",INDEX('Risk Register'!$T$6:$T$105,$B93))</f>
        <v/>
      </c>
      <c r="J93" s="37" t="str">
        <f t="shared" ca="1" si="4"/>
        <v/>
      </c>
      <c r="K93" s="38" t="str">
        <f ca="1">IF($B93="","",INDEX('Risk Register'!$U$6:$U$105,$B93))</f>
        <v/>
      </c>
      <c r="L93" s="38" t="str">
        <f ca="1">IF($B93="","",INDEX('Risk Register'!$Y$6:$Y$105,$B93))</f>
        <v/>
      </c>
      <c r="M93" s="38" t="str">
        <f ca="1">IF(K93="","",INDEX(Methodology!$B$48:$B$50,MATCH(K93,Methodology!$A$48:$A$50,0)))</f>
        <v/>
      </c>
      <c r="N93" s="45" t="str">
        <f ca="1">IF($B93="","",IF(INDEX('Risk Register'!$X$6:$X$105,$B93)="","",INDEX('Risk Register'!$X$6:$X$105,$B93)))</f>
        <v/>
      </c>
      <c r="O93" s="37" t="str">
        <f ca="1">IF(OR($B93="",N93=""),"",N93-Methodology!$B$4)</f>
        <v/>
      </c>
      <c r="P93" s="37" t="str">
        <f ca="1">IF($B93="","",INDEX('Risk Register'!$AC$6:$AC$105,$B93))</f>
        <v/>
      </c>
      <c r="Q93" s="44" t="str">
        <f t="shared" ca="1" si="5"/>
        <v/>
      </c>
    </row>
    <row r="94" spans="1:17" x14ac:dyDescent="0.35">
      <c r="A94" s="43">
        <v>88</v>
      </c>
      <c r="B94" s="43" t="str">
        <f ca="1">IFERROR(MATCH($A94,'Risk Register'!$AB$6:$AB$105,0),"")</f>
        <v/>
      </c>
      <c r="C94" s="38" t="str">
        <f ca="1">IF($B94="","",INDEX('Risk Register'!$A$6:$A$105,$B94))</f>
        <v/>
      </c>
      <c r="D94" s="44" t="str">
        <f ca="1">IF($B94="","",INDEX('Risk Register'!$B$6:$B$105,$B94))</f>
        <v/>
      </c>
      <c r="E94" s="38" t="str">
        <f ca="1">IF($B94="","",INDEX('Risk Register'!$D$6:$D$105,$B94))</f>
        <v/>
      </c>
      <c r="F94" s="38" t="str">
        <f ca="1">IF($B94="","",INDEX('Risk Register'!$E$6:$E$105,$B94))</f>
        <v/>
      </c>
      <c r="G94" s="37" t="str">
        <f ca="1">IF($B94="","",INDEX('Risk Register'!$O$6:$O$105,$B94))</f>
        <v/>
      </c>
      <c r="H94" s="37" t="str">
        <f ca="1">IF($B94="","",INDEX('Risk Register'!$S$6:$S$105,$B94))</f>
        <v/>
      </c>
      <c r="I94" s="37" t="str">
        <f ca="1">IF($B94="","",INDEX('Risk Register'!$T$6:$T$105,$B94))</f>
        <v/>
      </c>
      <c r="J94" s="37" t="str">
        <f t="shared" ca="1" si="4"/>
        <v/>
      </c>
      <c r="K94" s="38" t="str">
        <f ca="1">IF($B94="","",INDEX('Risk Register'!$U$6:$U$105,$B94))</f>
        <v/>
      </c>
      <c r="L94" s="38" t="str">
        <f ca="1">IF($B94="","",INDEX('Risk Register'!$Y$6:$Y$105,$B94))</f>
        <v/>
      </c>
      <c r="M94" s="38" t="str">
        <f ca="1">IF(K94="","",INDEX(Methodology!$B$48:$B$50,MATCH(K94,Methodology!$A$48:$A$50,0)))</f>
        <v/>
      </c>
      <c r="N94" s="45" t="str">
        <f ca="1">IF($B94="","",IF(INDEX('Risk Register'!$X$6:$X$105,$B94)="","",INDEX('Risk Register'!$X$6:$X$105,$B94)))</f>
        <v/>
      </c>
      <c r="O94" s="37" t="str">
        <f ca="1">IF(OR($B94="",N94=""),"",N94-Methodology!$B$4)</f>
        <v/>
      </c>
      <c r="P94" s="37" t="str">
        <f ca="1">IF($B94="","",INDEX('Risk Register'!$AC$6:$AC$105,$B94))</f>
        <v/>
      </c>
      <c r="Q94" s="44" t="str">
        <f t="shared" ca="1" si="5"/>
        <v/>
      </c>
    </row>
    <row r="95" spans="1:17" x14ac:dyDescent="0.35">
      <c r="A95" s="43">
        <v>89</v>
      </c>
      <c r="B95" s="43" t="str">
        <f ca="1">IFERROR(MATCH($A95,'Risk Register'!$AB$6:$AB$105,0),"")</f>
        <v/>
      </c>
      <c r="C95" s="38" t="str">
        <f ca="1">IF($B95="","",INDEX('Risk Register'!$A$6:$A$105,$B95))</f>
        <v/>
      </c>
      <c r="D95" s="44" t="str">
        <f ca="1">IF($B95="","",INDEX('Risk Register'!$B$6:$B$105,$B95))</f>
        <v/>
      </c>
      <c r="E95" s="38" t="str">
        <f ca="1">IF($B95="","",INDEX('Risk Register'!$D$6:$D$105,$B95))</f>
        <v/>
      </c>
      <c r="F95" s="38" t="str">
        <f ca="1">IF($B95="","",INDEX('Risk Register'!$E$6:$E$105,$B95))</f>
        <v/>
      </c>
      <c r="G95" s="37" t="str">
        <f ca="1">IF($B95="","",INDEX('Risk Register'!$O$6:$O$105,$B95))</f>
        <v/>
      </c>
      <c r="H95" s="37" t="str">
        <f ca="1">IF($B95="","",INDEX('Risk Register'!$S$6:$S$105,$B95))</f>
        <v/>
      </c>
      <c r="I95" s="37" t="str">
        <f ca="1">IF($B95="","",INDEX('Risk Register'!$T$6:$T$105,$B95))</f>
        <v/>
      </c>
      <c r="J95" s="37" t="str">
        <f t="shared" ca="1" si="4"/>
        <v/>
      </c>
      <c r="K95" s="38" t="str">
        <f ca="1">IF($B95="","",INDEX('Risk Register'!$U$6:$U$105,$B95))</f>
        <v/>
      </c>
      <c r="L95" s="38" t="str">
        <f ca="1">IF($B95="","",INDEX('Risk Register'!$Y$6:$Y$105,$B95))</f>
        <v/>
      </c>
      <c r="M95" s="38" t="str">
        <f ca="1">IF(K95="","",INDEX(Methodology!$B$48:$B$50,MATCH(K95,Methodology!$A$48:$A$50,0)))</f>
        <v/>
      </c>
      <c r="N95" s="45" t="str">
        <f ca="1">IF($B95="","",IF(INDEX('Risk Register'!$X$6:$X$105,$B95)="","",INDEX('Risk Register'!$X$6:$X$105,$B95)))</f>
        <v/>
      </c>
      <c r="O95" s="37" t="str">
        <f ca="1">IF(OR($B95="",N95=""),"",N95-Methodology!$B$4)</f>
        <v/>
      </c>
      <c r="P95" s="37" t="str">
        <f ca="1">IF($B95="","",INDEX('Risk Register'!$AC$6:$AC$105,$B95))</f>
        <v/>
      </c>
      <c r="Q95" s="44" t="str">
        <f t="shared" ca="1" si="5"/>
        <v/>
      </c>
    </row>
    <row r="96" spans="1:17" x14ac:dyDescent="0.35">
      <c r="A96" s="43">
        <v>90</v>
      </c>
      <c r="B96" s="43" t="str">
        <f ca="1">IFERROR(MATCH($A96,'Risk Register'!$AB$6:$AB$105,0),"")</f>
        <v/>
      </c>
      <c r="C96" s="38" t="str">
        <f ca="1">IF($B96="","",INDEX('Risk Register'!$A$6:$A$105,$B96))</f>
        <v/>
      </c>
      <c r="D96" s="44" t="str">
        <f ca="1">IF($B96="","",INDEX('Risk Register'!$B$6:$B$105,$B96))</f>
        <v/>
      </c>
      <c r="E96" s="38" t="str">
        <f ca="1">IF($B96="","",INDEX('Risk Register'!$D$6:$D$105,$B96))</f>
        <v/>
      </c>
      <c r="F96" s="38" t="str">
        <f ca="1">IF($B96="","",INDEX('Risk Register'!$E$6:$E$105,$B96))</f>
        <v/>
      </c>
      <c r="G96" s="37" t="str">
        <f ca="1">IF($B96="","",INDEX('Risk Register'!$O$6:$O$105,$B96))</f>
        <v/>
      </c>
      <c r="H96" s="37" t="str">
        <f ca="1">IF($B96="","",INDEX('Risk Register'!$S$6:$S$105,$B96))</f>
        <v/>
      </c>
      <c r="I96" s="37" t="str">
        <f ca="1">IF($B96="","",INDEX('Risk Register'!$T$6:$T$105,$B96))</f>
        <v/>
      </c>
      <c r="J96" s="37" t="str">
        <f t="shared" ca="1" si="4"/>
        <v/>
      </c>
      <c r="K96" s="38" t="str">
        <f ca="1">IF($B96="","",INDEX('Risk Register'!$U$6:$U$105,$B96))</f>
        <v/>
      </c>
      <c r="L96" s="38" t="str">
        <f ca="1">IF($B96="","",INDEX('Risk Register'!$Y$6:$Y$105,$B96))</f>
        <v/>
      </c>
      <c r="M96" s="38" t="str">
        <f ca="1">IF(K96="","",INDEX(Methodology!$B$48:$B$50,MATCH(K96,Methodology!$A$48:$A$50,0)))</f>
        <v/>
      </c>
      <c r="N96" s="45" t="str">
        <f ca="1">IF($B96="","",IF(INDEX('Risk Register'!$X$6:$X$105,$B96)="","",INDEX('Risk Register'!$X$6:$X$105,$B96)))</f>
        <v/>
      </c>
      <c r="O96" s="37" t="str">
        <f ca="1">IF(OR($B96="",N96=""),"",N96-Methodology!$B$4)</f>
        <v/>
      </c>
      <c r="P96" s="37" t="str">
        <f ca="1">IF($B96="","",INDEX('Risk Register'!$AC$6:$AC$105,$B96))</f>
        <v/>
      </c>
      <c r="Q96" s="44" t="str">
        <f t="shared" ca="1" si="5"/>
        <v/>
      </c>
    </row>
    <row r="97" spans="1:17" x14ac:dyDescent="0.35">
      <c r="A97" s="43">
        <v>91</v>
      </c>
      <c r="B97" s="43" t="str">
        <f ca="1">IFERROR(MATCH($A97,'Risk Register'!$AB$6:$AB$105,0),"")</f>
        <v/>
      </c>
      <c r="C97" s="38" t="str">
        <f ca="1">IF($B97="","",INDEX('Risk Register'!$A$6:$A$105,$B97))</f>
        <v/>
      </c>
      <c r="D97" s="44" t="str">
        <f ca="1">IF($B97="","",INDEX('Risk Register'!$B$6:$B$105,$B97))</f>
        <v/>
      </c>
      <c r="E97" s="38" t="str">
        <f ca="1">IF($B97="","",INDEX('Risk Register'!$D$6:$D$105,$B97))</f>
        <v/>
      </c>
      <c r="F97" s="38" t="str">
        <f ca="1">IF($B97="","",INDEX('Risk Register'!$E$6:$E$105,$B97))</f>
        <v/>
      </c>
      <c r="G97" s="37" t="str">
        <f ca="1">IF($B97="","",INDEX('Risk Register'!$O$6:$O$105,$B97))</f>
        <v/>
      </c>
      <c r="H97" s="37" t="str">
        <f ca="1">IF($B97="","",INDEX('Risk Register'!$S$6:$S$105,$B97))</f>
        <v/>
      </c>
      <c r="I97" s="37" t="str">
        <f ca="1">IF($B97="","",INDEX('Risk Register'!$T$6:$T$105,$B97))</f>
        <v/>
      </c>
      <c r="J97" s="37" t="str">
        <f t="shared" ca="1" si="4"/>
        <v/>
      </c>
      <c r="K97" s="38" t="str">
        <f ca="1">IF($B97="","",INDEX('Risk Register'!$U$6:$U$105,$B97))</f>
        <v/>
      </c>
      <c r="L97" s="38" t="str">
        <f ca="1">IF($B97="","",INDEX('Risk Register'!$Y$6:$Y$105,$B97))</f>
        <v/>
      </c>
      <c r="M97" s="38" t="str">
        <f ca="1">IF(K97="","",INDEX(Methodology!$B$48:$B$50,MATCH(K97,Methodology!$A$48:$A$50,0)))</f>
        <v/>
      </c>
      <c r="N97" s="45" t="str">
        <f ca="1">IF($B97="","",IF(INDEX('Risk Register'!$X$6:$X$105,$B97)="","",INDEX('Risk Register'!$X$6:$X$105,$B97)))</f>
        <v/>
      </c>
      <c r="O97" s="37" t="str">
        <f ca="1">IF(OR($B97="",N97=""),"",N97-Methodology!$B$4)</f>
        <v/>
      </c>
      <c r="P97" s="37" t="str">
        <f ca="1">IF($B97="","",INDEX('Risk Register'!$AC$6:$AC$105,$B97))</f>
        <v/>
      </c>
      <c r="Q97" s="44" t="str">
        <f t="shared" ca="1" si="5"/>
        <v/>
      </c>
    </row>
    <row r="98" spans="1:17" x14ac:dyDescent="0.35">
      <c r="A98" s="43">
        <v>92</v>
      </c>
      <c r="B98" s="43" t="str">
        <f ca="1">IFERROR(MATCH($A98,'Risk Register'!$AB$6:$AB$105,0),"")</f>
        <v/>
      </c>
      <c r="C98" s="38" t="str">
        <f ca="1">IF($B98="","",INDEX('Risk Register'!$A$6:$A$105,$B98))</f>
        <v/>
      </c>
      <c r="D98" s="44" t="str">
        <f ca="1">IF($B98="","",INDEX('Risk Register'!$B$6:$B$105,$B98))</f>
        <v/>
      </c>
      <c r="E98" s="38" t="str">
        <f ca="1">IF($B98="","",INDEX('Risk Register'!$D$6:$D$105,$B98))</f>
        <v/>
      </c>
      <c r="F98" s="38" t="str">
        <f ca="1">IF($B98="","",INDEX('Risk Register'!$E$6:$E$105,$B98))</f>
        <v/>
      </c>
      <c r="G98" s="37" t="str">
        <f ca="1">IF($B98="","",INDEX('Risk Register'!$O$6:$O$105,$B98))</f>
        <v/>
      </c>
      <c r="H98" s="37" t="str">
        <f ca="1">IF($B98="","",INDEX('Risk Register'!$S$6:$S$105,$B98))</f>
        <v/>
      </c>
      <c r="I98" s="37" t="str">
        <f ca="1">IF($B98="","",INDEX('Risk Register'!$T$6:$T$105,$B98))</f>
        <v/>
      </c>
      <c r="J98" s="37" t="str">
        <f t="shared" ca="1" si="4"/>
        <v/>
      </c>
      <c r="K98" s="38" t="str">
        <f ca="1">IF($B98="","",INDEX('Risk Register'!$U$6:$U$105,$B98))</f>
        <v/>
      </c>
      <c r="L98" s="38" t="str">
        <f ca="1">IF($B98="","",INDEX('Risk Register'!$Y$6:$Y$105,$B98))</f>
        <v/>
      </c>
      <c r="M98" s="38" t="str">
        <f ca="1">IF(K98="","",INDEX(Methodology!$B$48:$B$50,MATCH(K98,Methodology!$A$48:$A$50,0)))</f>
        <v/>
      </c>
      <c r="N98" s="45" t="str">
        <f ca="1">IF($B98="","",IF(INDEX('Risk Register'!$X$6:$X$105,$B98)="","",INDEX('Risk Register'!$X$6:$X$105,$B98)))</f>
        <v/>
      </c>
      <c r="O98" s="37" t="str">
        <f ca="1">IF(OR($B98="",N98=""),"",N98-Methodology!$B$4)</f>
        <v/>
      </c>
      <c r="P98" s="37" t="str">
        <f ca="1">IF($B98="","",INDEX('Risk Register'!$AC$6:$AC$105,$B98))</f>
        <v/>
      </c>
      <c r="Q98" s="44" t="str">
        <f t="shared" ca="1" si="5"/>
        <v/>
      </c>
    </row>
    <row r="99" spans="1:17" x14ac:dyDescent="0.35">
      <c r="A99" s="43">
        <v>93</v>
      </c>
      <c r="B99" s="43" t="str">
        <f ca="1">IFERROR(MATCH($A99,'Risk Register'!$AB$6:$AB$105,0),"")</f>
        <v/>
      </c>
      <c r="C99" s="38" t="str">
        <f ca="1">IF($B99="","",INDEX('Risk Register'!$A$6:$A$105,$B99))</f>
        <v/>
      </c>
      <c r="D99" s="44" t="str">
        <f ca="1">IF($B99="","",INDEX('Risk Register'!$B$6:$B$105,$B99))</f>
        <v/>
      </c>
      <c r="E99" s="38" t="str">
        <f ca="1">IF($B99="","",INDEX('Risk Register'!$D$6:$D$105,$B99))</f>
        <v/>
      </c>
      <c r="F99" s="38" t="str">
        <f ca="1">IF($B99="","",INDEX('Risk Register'!$E$6:$E$105,$B99))</f>
        <v/>
      </c>
      <c r="G99" s="37" t="str">
        <f ca="1">IF($B99="","",INDEX('Risk Register'!$O$6:$O$105,$B99))</f>
        <v/>
      </c>
      <c r="H99" s="37" t="str">
        <f ca="1">IF($B99="","",INDEX('Risk Register'!$S$6:$S$105,$B99))</f>
        <v/>
      </c>
      <c r="I99" s="37" t="str">
        <f ca="1">IF($B99="","",INDEX('Risk Register'!$T$6:$T$105,$B99))</f>
        <v/>
      </c>
      <c r="J99" s="37" t="str">
        <f t="shared" ca="1" si="4"/>
        <v/>
      </c>
      <c r="K99" s="38" t="str">
        <f ca="1">IF($B99="","",INDEX('Risk Register'!$U$6:$U$105,$B99))</f>
        <v/>
      </c>
      <c r="L99" s="38" t="str">
        <f ca="1">IF($B99="","",INDEX('Risk Register'!$Y$6:$Y$105,$B99))</f>
        <v/>
      </c>
      <c r="M99" s="38" t="str">
        <f ca="1">IF(K99="","",INDEX(Methodology!$B$48:$B$50,MATCH(K99,Methodology!$A$48:$A$50,0)))</f>
        <v/>
      </c>
      <c r="N99" s="45" t="str">
        <f ca="1">IF($B99="","",IF(INDEX('Risk Register'!$X$6:$X$105,$B99)="","",INDEX('Risk Register'!$X$6:$X$105,$B99)))</f>
        <v/>
      </c>
      <c r="O99" s="37" t="str">
        <f ca="1">IF(OR($B99="",N99=""),"",N99-Methodology!$B$4)</f>
        <v/>
      </c>
      <c r="P99" s="37" t="str">
        <f ca="1">IF($B99="","",INDEX('Risk Register'!$AC$6:$AC$105,$B99))</f>
        <v/>
      </c>
      <c r="Q99" s="44" t="str">
        <f t="shared" ca="1" si="5"/>
        <v/>
      </c>
    </row>
    <row r="100" spans="1:17" x14ac:dyDescent="0.35">
      <c r="A100" s="43">
        <v>94</v>
      </c>
      <c r="B100" s="43" t="str">
        <f ca="1">IFERROR(MATCH($A100,'Risk Register'!$AB$6:$AB$105,0),"")</f>
        <v/>
      </c>
      <c r="C100" s="38" t="str">
        <f ca="1">IF($B100="","",INDEX('Risk Register'!$A$6:$A$105,$B100))</f>
        <v/>
      </c>
      <c r="D100" s="44" t="str">
        <f ca="1">IF($B100="","",INDEX('Risk Register'!$B$6:$B$105,$B100))</f>
        <v/>
      </c>
      <c r="E100" s="38" t="str">
        <f ca="1">IF($B100="","",INDEX('Risk Register'!$D$6:$D$105,$B100))</f>
        <v/>
      </c>
      <c r="F100" s="38" t="str">
        <f ca="1">IF($B100="","",INDEX('Risk Register'!$E$6:$E$105,$B100))</f>
        <v/>
      </c>
      <c r="G100" s="37" t="str">
        <f ca="1">IF($B100="","",INDEX('Risk Register'!$O$6:$O$105,$B100))</f>
        <v/>
      </c>
      <c r="H100" s="37" t="str">
        <f ca="1">IF($B100="","",INDEX('Risk Register'!$S$6:$S$105,$B100))</f>
        <v/>
      </c>
      <c r="I100" s="37" t="str">
        <f ca="1">IF($B100="","",INDEX('Risk Register'!$T$6:$T$105,$B100))</f>
        <v/>
      </c>
      <c r="J100" s="37" t="str">
        <f t="shared" ca="1" si="4"/>
        <v/>
      </c>
      <c r="K100" s="38" t="str">
        <f ca="1">IF($B100="","",INDEX('Risk Register'!$U$6:$U$105,$B100))</f>
        <v/>
      </c>
      <c r="L100" s="38" t="str">
        <f ca="1">IF($B100="","",INDEX('Risk Register'!$Y$6:$Y$105,$B100))</f>
        <v/>
      </c>
      <c r="M100" s="38" t="str">
        <f ca="1">IF(K100="","",INDEX(Methodology!$B$48:$B$50,MATCH(K100,Methodology!$A$48:$A$50,0)))</f>
        <v/>
      </c>
      <c r="N100" s="45" t="str">
        <f ca="1">IF($B100="","",IF(INDEX('Risk Register'!$X$6:$X$105,$B100)="","",INDEX('Risk Register'!$X$6:$X$105,$B100)))</f>
        <v/>
      </c>
      <c r="O100" s="37" t="str">
        <f ca="1">IF(OR($B100="",N100=""),"",N100-Methodology!$B$4)</f>
        <v/>
      </c>
      <c r="P100" s="37" t="str">
        <f ca="1">IF($B100="","",INDEX('Risk Register'!$AC$6:$AC$105,$B100))</f>
        <v/>
      </c>
      <c r="Q100" s="44" t="str">
        <f t="shared" ca="1" si="5"/>
        <v/>
      </c>
    </row>
    <row r="101" spans="1:17" x14ac:dyDescent="0.35">
      <c r="A101" s="43">
        <v>95</v>
      </c>
      <c r="B101" s="43" t="str">
        <f ca="1">IFERROR(MATCH($A101,'Risk Register'!$AB$6:$AB$105,0),"")</f>
        <v/>
      </c>
      <c r="C101" s="38" t="str">
        <f ca="1">IF($B101="","",INDEX('Risk Register'!$A$6:$A$105,$B101))</f>
        <v/>
      </c>
      <c r="D101" s="44" t="str">
        <f ca="1">IF($B101="","",INDEX('Risk Register'!$B$6:$B$105,$B101))</f>
        <v/>
      </c>
      <c r="E101" s="38" t="str">
        <f ca="1">IF($B101="","",INDEX('Risk Register'!$D$6:$D$105,$B101))</f>
        <v/>
      </c>
      <c r="F101" s="38" t="str">
        <f ca="1">IF($B101="","",INDEX('Risk Register'!$E$6:$E$105,$B101))</f>
        <v/>
      </c>
      <c r="G101" s="37" t="str">
        <f ca="1">IF($B101="","",INDEX('Risk Register'!$O$6:$O$105,$B101))</f>
        <v/>
      </c>
      <c r="H101" s="37" t="str">
        <f ca="1">IF($B101="","",INDEX('Risk Register'!$S$6:$S$105,$B101))</f>
        <v/>
      </c>
      <c r="I101" s="37" t="str">
        <f ca="1">IF($B101="","",INDEX('Risk Register'!$T$6:$T$105,$B101))</f>
        <v/>
      </c>
      <c r="J101" s="37" t="str">
        <f t="shared" ca="1" si="4"/>
        <v/>
      </c>
      <c r="K101" s="38" t="str">
        <f ca="1">IF($B101="","",INDEX('Risk Register'!$U$6:$U$105,$B101))</f>
        <v/>
      </c>
      <c r="L101" s="38" t="str">
        <f ca="1">IF($B101="","",INDEX('Risk Register'!$Y$6:$Y$105,$B101))</f>
        <v/>
      </c>
      <c r="M101" s="38" t="str">
        <f ca="1">IF(K101="","",INDEX(Methodology!$B$48:$B$50,MATCH(K101,Methodology!$A$48:$A$50,0)))</f>
        <v/>
      </c>
      <c r="N101" s="45" t="str">
        <f ca="1">IF($B101="","",IF(INDEX('Risk Register'!$X$6:$X$105,$B101)="","",INDEX('Risk Register'!$X$6:$X$105,$B101)))</f>
        <v/>
      </c>
      <c r="O101" s="37" t="str">
        <f ca="1">IF(OR($B101="",N101=""),"",N101-Methodology!$B$4)</f>
        <v/>
      </c>
      <c r="P101" s="37" t="str">
        <f ca="1">IF($B101="","",INDEX('Risk Register'!$AC$6:$AC$105,$B101))</f>
        <v/>
      </c>
      <c r="Q101" s="44" t="str">
        <f t="shared" ca="1" si="5"/>
        <v/>
      </c>
    </row>
    <row r="102" spans="1:17" x14ac:dyDescent="0.35">
      <c r="A102" s="43">
        <v>96</v>
      </c>
      <c r="B102" s="43" t="str">
        <f ca="1">IFERROR(MATCH($A102,'Risk Register'!$AB$6:$AB$105,0),"")</f>
        <v/>
      </c>
      <c r="C102" s="38" t="str">
        <f ca="1">IF($B102="","",INDEX('Risk Register'!$A$6:$A$105,$B102))</f>
        <v/>
      </c>
      <c r="D102" s="44" t="str">
        <f ca="1">IF($B102="","",INDEX('Risk Register'!$B$6:$B$105,$B102))</f>
        <v/>
      </c>
      <c r="E102" s="38" t="str">
        <f ca="1">IF($B102="","",INDEX('Risk Register'!$D$6:$D$105,$B102))</f>
        <v/>
      </c>
      <c r="F102" s="38" t="str">
        <f ca="1">IF($B102="","",INDEX('Risk Register'!$E$6:$E$105,$B102))</f>
        <v/>
      </c>
      <c r="G102" s="37" t="str">
        <f ca="1">IF($B102="","",INDEX('Risk Register'!$O$6:$O$105,$B102))</f>
        <v/>
      </c>
      <c r="H102" s="37" t="str">
        <f ca="1">IF($B102="","",INDEX('Risk Register'!$S$6:$S$105,$B102))</f>
        <v/>
      </c>
      <c r="I102" s="37" t="str">
        <f ca="1">IF($B102="","",INDEX('Risk Register'!$T$6:$T$105,$B102))</f>
        <v/>
      </c>
      <c r="J102" s="37" t="str">
        <f t="shared" ca="1" si="4"/>
        <v/>
      </c>
      <c r="K102" s="38" t="str">
        <f ca="1">IF($B102="","",INDEX('Risk Register'!$U$6:$U$105,$B102))</f>
        <v/>
      </c>
      <c r="L102" s="38" t="str">
        <f ca="1">IF($B102="","",INDEX('Risk Register'!$Y$6:$Y$105,$B102))</f>
        <v/>
      </c>
      <c r="M102" s="38" t="str">
        <f ca="1">IF(K102="","",INDEX(Methodology!$B$48:$B$50,MATCH(K102,Methodology!$A$48:$A$50,0)))</f>
        <v/>
      </c>
      <c r="N102" s="45" t="str">
        <f ca="1">IF($B102="","",IF(INDEX('Risk Register'!$X$6:$X$105,$B102)="","",INDEX('Risk Register'!$X$6:$X$105,$B102)))</f>
        <v/>
      </c>
      <c r="O102" s="37" t="str">
        <f ca="1">IF(OR($B102="",N102=""),"",N102-Methodology!$B$4)</f>
        <v/>
      </c>
      <c r="P102" s="37" t="str">
        <f ca="1">IF($B102="","",INDEX('Risk Register'!$AC$6:$AC$105,$B102))</f>
        <v/>
      </c>
      <c r="Q102" s="44" t="str">
        <f t="shared" ca="1" si="5"/>
        <v/>
      </c>
    </row>
    <row r="103" spans="1:17" x14ac:dyDescent="0.35">
      <c r="A103" s="43">
        <v>97</v>
      </c>
      <c r="B103" s="43" t="str">
        <f ca="1">IFERROR(MATCH($A103,'Risk Register'!$AB$6:$AB$105,0),"")</f>
        <v/>
      </c>
      <c r="C103" s="38" t="str">
        <f ca="1">IF($B103="","",INDEX('Risk Register'!$A$6:$A$105,$B103))</f>
        <v/>
      </c>
      <c r="D103" s="44" t="str">
        <f ca="1">IF($B103="","",INDEX('Risk Register'!$B$6:$B$105,$B103))</f>
        <v/>
      </c>
      <c r="E103" s="38" t="str">
        <f ca="1">IF($B103="","",INDEX('Risk Register'!$D$6:$D$105,$B103))</f>
        <v/>
      </c>
      <c r="F103" s="38" t="str">
        <f ca="1">IF($B103="","",INDEX('Risk Register'!$E$6:$E$105,$B103))</f>
        <v/>
      </c>
      <c r="G103" s="37" t="str">
        <f ca="1">IF($B103="","",INDEX('Risk Register'!$O$6:$O$105,$B103))</f>
        <v/>
      </c>
      <c r="H103" s="37" t="str">
        <f ca="1">IF($B103="","",INDEX('Risk Register'!$S$6:$S$105,$B103))</f>
        <v/>
      </c>
      <c r="I103" s="37" t="str">
        <f ca="1">IF($B103="","",INDEX('Risk Register'!$T$6:$T$105,$B103))</f>
        <v/>
      </c>
      <c r="J103" s="37" t="str">
        <f t="shared" ca="1" si="4"/>
        <v/>
      </c>
      <c r="K103" s="38" t="str">
        <f ca="1">IF($B103="","",INDEX('Risk Register'!$U$6:$U$105,$B103))</f>
        <v/>
      </c>
      <c r="L103" s="38" t="str">
        <f ca="1">IF($B103="","",INDEX('Risk Register'!$Y$6:$Y$105,$B103))</f>
        <v/>
      </c>
      <c r="M103" s="38" t="str">
        <f ca="1">IF(K103="","",INDEX(Methodology!$B$48:$B$50,MATCH(K103,Methodology!$A$48:$A$50,0)))</f>
        <v/>
      </c>
      <c r="N103" s="45" t="str">
        <f ca="1">IF($B103="","",IF(INDEX('Risk Register'!$X$6:$X$105,$B103)="","",INDEX('Risk Register'!$X$6:$X$105,$B103)))</f>
        <v/>
      </c>
      <c r="O103" s="37" t="str">
        <f ca="1">IF(OR($B103="",N103=""),"",N103-Methodology!$B$4)</f>
        <v/>
      </c>
      <c r="P103" s="37" t="str">
        <f ca="1">IF($B103="","",INDEX('Risk Register'!$AC$6:$AC$105,$B103))</f>
        <v/>
      </c>
      <c r="Q103" s="44" t="str">
        <f t="shared" ref="Q103:Q106" ca="1" si="6">IF($B103="","",IF(L103="Breach - not accepted",IF(P103=0,"Escalate to "&amp;M103&amp;"; no treatment action or acceptance recorded","Escalate to "&amp;M103&amp;"; track treatment actions"),IF(L103="Acceptance expired - breach open","Acceptance lapsed: re-approve or treat",IF(L103="Accepted - expiry not set","Set an acceptance expiry date","Accepted: monitor to expiry and keep treating where practical"))))</f>
        <v/>
      </c>
    </row>
    <row r="104" spans="1:17" x14ac:dyDescent="0.35">
      <c r="A104" s="43">
        <v>98</v>
      </c>
      <c r="B104" s="43" t="str">
        <f ca="1">IFERROR(MATCH($A104,'Risk Register'!$AB$6:$AB$105,0),"")</f>
        <v/>
      </c>
      <c r="C104" s="38" t="str">
        <f ca="1">IF($B104="","",INDEX('Risk Register'!$A$6:$A$105,$B104))</f>
        <v/>
      </c>
      <c r="D104" s="44" t="str">
        <f ca="1">IF($B104="","",INDEX('Risk Register'!$B$6:$B$105,$B104))</f>
        <v/>
      </c>
      <c r="E104" s="38" t="str">
        <f ca="1">IF($B104="","",INDEX('Risk Register'!$D$6:$D$105,$B104))</f>
        <v/>
      </c>
      <c r="F104" s="38" t="str">
        <f ca="1">IF($B104="","",INDEX('Risk Register'!$E$6:$E$105,$B104))</f>
        <v/>
      </c>
      <c r="G104" s="37" t="str">
        <f ca="1">IF($B104="","",INDEX('Risk Register'!$O$6:$O$105,$B104))</f>
        <v/>
      </c>
      <c r="H104" s="37" t="str">
        <f ca="1">IF($B104="","",INDEX('Risk Register'!$S$6:$S$105,$B104))</f>
        <v/>
      </c>
      <c r="I104" s="37" t="str">
        <f ca="1">IF($B104="","",INDEX('Risk Register'!$T$6:$T$105,$B104))</f>
        <v/>
      </c>
      <c r="J104" s="37" t="str">
        <f t="shared" ca="1" si="4"/>
        <v/>
      </c>
      <c r="K104" s="38" t="str">
        <f ca="1">IF($B104="","",INDEX('Risk Register'!$U$6:$U$105,$B104))</f>
        <v/>
      </c>
      <c r="L104" s="38" t="str">
        <f ca="1">IF($B104="","",INDEX('Risk Register'!$Y$6:$Y$105,$B104))</f>
        <v/>
      </c>
      <c r="M104" s="38" t="str">
        <f ca="1">IF(K104="","",INDEX(Methodology!$B$48:$B$50,MATCH(K104,Methodology!$A$48:$A$50,0)))</f>
        <v/>
      </c>
      <c r="N104" s="45" t="str">
        <f ca="1">IF($B104="","",IF(INDEX('Risk Register'!$X$6:$X$105,$B104)="","",INDEX('Risk Register'!$X$6:$X$105,$B104)))</f>
        <v/>
      </c>
      <c r="O104" s="37" t="str">
        <f ca="1">IF(OR($B104="",N104=""),"",N104-Methodology!$B$4)</f>
        <v/>
      </c>
      <c r="P104" s="37" t="str">
        <f ca="1">IF($B104="","",INDEX('Risk Register'!$AC$6:$AC$105,$B104))</f>
        <v/>
      </c>
      <c r="Q104" s="44" t="str">
        <f t="shared" ca="1" si="6"/>
        <v/>
      </c>
    </row>
    <row r="105" spans="1:17" x14ac:dyDescent="0.35">
      <c r="A105" s="43">
        <v>99</v>
      </c>
      <c r="B105" s="43" t="str">
        <f ca="1">IFERROR(MATCH($A105,'Risk Register'!$AB$6:$AB$105,0),"")</f>
        <v/>
      </c>
      <c r="C105" s="38" t="str">
        <f ca="1">IF($B105="","",INDEX('Risk Register'!$A$6:$A$105,$B105))</f>
        <v/>
      </c>
      <c r="D105" s="44" t="str">
        <f ca="1">IF($B105="","",INDEX('Risk Register'!$B$6:$B$105,$B105))</f>
        <v/>
      </c>
      <c r="E105" s="38" t="str">
        <f ca="1">IF($B105="","",INDEX('Risk Register'!$D$6:$D$105,$B105))</f>
        <v/>
      </c>
      <c r="F105" s="38" t="str">
        <f ca="1">IF($B105="","",INDEX('Risk Register'!$E$6:$E$105,$B105))</f>
        <v/>
      </c>
      <c r="G105" s="37" t="str">
        <f ca="1">IF($B105="","",INDEX('Risk Register'!$O$6:$O$105,$B105))</f>
        <v/>
      </c>
      <c r="H105" s="37" t="str">
        <f ca="1">IF($B105="","",INDEX('Risk Register'!$S$6:$S$105,$B105))</f>
        <v/>
      </c>
      <c r="I105" s="37" t="str">
        <f ca="1">IF($B105="","",INDEX('Risk Register'!$T$6:$T$105,$B105))</f>
        <v/>
      </c>
      <c r="J105" s="37" t="str">
        <f t="shared" ca="1" si="4"/>
        <v/>
      </c>
      <c r="K105" s="38" t="str">
        <f ca="1">IF($B105="","",INDEX('Risk Register'!$U$6:$U$105,$B105))</f>
        <v/>
      </c>
      <c r="L105" s="38" t="str">
        <f ca="1">IF($B105="","",INDEX('Risk Register'!$Y$6:$Y$105,$B105))</f>
        <v/>
      </c>
      <c r="M105" s="38" t="str">
        <f ca="1">IF(K105="","",INDEX(Methodology!$B$48:$B$50,MATCH(K105,Methodology!$A$48:$A$50,0)))</f>
        <v/>
      </c>
      <c r="N105" s="45" t="str">
        <f ca="1">IF($B105="","",IF(INDEX('Risk Register'!$X$6:$X$105,$B105)="","",INDEX('Risk Register'!$X$6:$X$105,$B105)))</f>
        <v/>
      </c>
      <c r="O105" s="37" t="str">
        <f ca="1">IF(OR($B105="",N105=""),"",N105-Methodology!$B$4)</f>
        <v/>
      </c>
      <c r="P105" s="37" t="str">
        <f ca="1">IF($B105="","",INDEX('Risk Register'!$AC$6:$AC$105,$B105))</f>
        <v/>
      </c>
      <c r="Q105" s="44" t="str">
        <f t="shared" ca="1" si="6"/>
        <v/>
      </c>
    </row>
    <row r="106" spans="1:17" x14ac:dyDescent="0.35">
      <c r="A106" s="43">
        <v>100</v>
      </c>
      <c r="B106" s="43" t="str">
        <f ca="1">IFERROR(MATCH($A106,'Risk Register'!$AB$6:$AB$105,0),"")</f>
        <v/>
      </c>
      <c r="C106" s="38" t="str">
        <f ca="1">IF($B106="","",INDEX('Risk Register'!$A$6:$A$105,$B106))</f>
        <v/>
      </c>
      <c r="D106" s="44" t="str">
        <f ca="1">IF($B106="","",INDEX('Risk Register'!$B$6:$B$105,$B106))</f>
        <v/>
      </c>
      <c r="E106" s="38" t="str">
        <f ca="1">IF($B106="","",INDEX('Risk Register'!$D$6:$D$105,$B106))</f>
        <v/>
      </c>
      <c r="F106" s="38" t="str">
        <f ca="1">IF($B106="","",INDEX('Risk Register'!$E$6:$E$105,$B106))</f>
        <v/>
      </c>
      <c r="G106" s="37" t="str">
        <f ca="1">IF($B106="","",INDEX('Risk Register'!$O$6:$O$105,$B106))</f>
        <v/>
      </c>
      <c r="H106" s="37" t="str">
        <f ca="1">IF($B106="","",INDEX('Risk Register'!$S$6:$S$105,$B106))</f>
        <v/>
      </c>
      <c r="I106" s="37" t="str">
        <f ca="1">IF($B106="","",INDEX('Risk Register'!$T$6:$T$105,$B106))</f>
        <v/>
      </c>
      <c r="J106" s="37" t="str">
        <f t="shared" ca="1" si="4"/>
        <v/>
      </c>
      <c r="K106" s="38" t="str">
        <f ca="1">IF($B106="","",INDEX('Risk Register'!$U$6:$U$105,$B106))</f>
        <v/>
      </c>
      <c r="L106" s="38" t="str">
        <f ca="1">IF($B106="","",INDEX('Risk Register'!$Y$6:$Y$105,$B106))</f>
        <v/>
      </c>
      <c r="M106" s="38" t="str">
        <f ca="1">IF(K106="","",INDEX(Methodology!$B$48:$B$50,MATCH(K106,Methodology!$A$48:$A$50,0)))</f>
        <v/>
      </c>
      <c r="N106" s="45" t="str">
        <f ca="1">IF($B106="","",IF(INDEX('Risk Register'!$X$6:$X$105,$B106)="","",INDEX('Risk Register'!$X$6:$X$105,$B106)))</f>
        <v/>
      </c>
      <c r="O106" s="37" t="str">
        <f ca="1">IF(OR($B106="",N106=""),"",N106-Methodology!$B$4)</f>
        <v/>
      </c>
      <c r="P106" s="37" t="str">
        <f ca="1">IF($B106="","",INDEX('Risk Register'!$AC$6:$AC$105,$B106))</f>
        <v/>
      </c>
      <c r="Q106" s="44" t="str">
        <f t="shared" ca="1" si="6"/>
        <v/>
      </c>
    </row>
  </sheetData>
  <conditionalFormatting sqref="K7:K106">
    <cfRule type="expression" dxfId="61" priority="2">
      <formula>K7="Tolerance breach"</formula>
    </cfRule>
    <cfRule type="expression" dxfId="60" priority="3">
      <formula>K7="Appetite breach"</formula>
    </cfRule>
  </conditionalFormatting>
  <conditionalFormatting sqref="L7:L106">
    <cfRule type="expression" dxfId="59" priority="4">
      <formula>OR(L7="Breach - not accepted",L7="Acceptance expired - breach open")</formula>
    </cfRule>
    <cfRule type="expression" dxfId="58" priority="5">
      <formula>OR(L7="Breach - formally accepted",L7="Accepted - expiry not set")</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F5597"/>
  </sheetPr>
  <dimension ref="A1:P105"/>
  <sheetViews>
    <sheetView showGridLines="0" workbookViewId="0">
      <pane xSplit="4" ySplit="5" topLeftCell="E6" activePane="bottomRight" state="frozen"/>
      <selection pane="topRight"/>
      <selection pane="bottomLeft"/>
      <selection pane="bottomRight" activeCell="E6" sqref="E6"/>
    </sheetView>
  </sheetViews>
  <sheetFormatPr defaultColWidth="8.6328125" defaultRowHeight="14.5" x14ac:dyDescent="0.35"/>
  <cols>
    <col min="1" max="2" width="9" customWidth="1"/>
    <col min="3" max="3" width="28" customWidth="1"/>
    <col min="4" max="4" width="44" customWidth="1"/>
    <col min="5" max="5" width="18" customWidth="1"/>
    <col min="6" max="8" width="13" customWidth="1"/>
    <col min="9" max="9" width="10" customWidth="1"/>
    <col min="10" max="10" width="13" customWidth="1"/>
    <col min="11" max="11" width="9" customWidth="1"/>
    <col min="12" max="12" width="12" customWidth="1"/>
    <col min="13" max="13" width="16" customWidth="1"/>
    <col min="14" max="15" width="11" customWidth="1"/>
    <col min="16" max="16" width="30" customWidth="1"/>
  </cols>
  <sheetData>
    <row r="1" spans="1:16" ht="20" x14ac:dyDescent="0.4">
      <c r="A1" s="2" t="s">
        <v>318</v>
      </c>
    </row>
    <row r="2" spans="1:16" x14ac:dyDescent="0.35">
      <c r="A2" s="1" t="s">
        <v>319</v>
      </c>
    </row>
    <row r="5" spans="1:16" ht="57.75" customHeight="1" x14ac:dyDescent="0.35">
      <c r="A5" s="16" t="s">
        <v>320</v>
      </c>
      <c r="B5" s="16" t="s">
        <v>224</v>
      </c>
      <c r="C5" s="16" t="s">
        <v>225</v>
      </c>
      <c r="D5" s="16" t="s">
        <v>321</v>
      </c>
      <c r="E5" s="16" t="s">
        <v>322</v>
      </c>
      <c r="F5" s="16" t="s">
        <v>323</v>
      </c>
      <c r="G5" s="16" t="s">
        <v>324</v>
      </c>
      <c r="H5" s="16" t="s">
        <v>325</v>
      </c>
      <c r="I5" s="16" t="s">
        <v>326</v>
      </c>
      <c r="J5" s="16" t="s">
        <v>327</v>
      </c>
      <c r="K5" s="16" t="s">
        <v>328</v>
      </c>
      <c r="L5" s="16" t="s">
        <v>329</v>
      </c>
      <c r="M5" s="16" t="s">
        <v>330</v>
      </c>
      <c r="N5" s="16" t="s">
        <v>331</v>
      </c>
      <c r="O5" s="16" t="s">
        <v>332</v>
      </c>
      <c r="P5" s="16" t="s">
        <v>333</v>
      </c>
    </row>
    <row r="6" spans="1:16" x14ac:dyDescent="0.35">
      <c r="A6" s="35" t="s">
        <v>334</v>
      </c>
      <c r="B6" s="35" t="s">
        <v>258</v>
      </c>
      <c r="C6" s="44" t="str">
        <f>IF(B6="","",IFERROR(INDEX('Risk Register'!$B$6:$B$105,MATCH(B6,'Risk Register'!$A$6:$A$105,0)),"Unknown Risk ID"))</f>
        <v>Ransomware on production</v>
      </c>
      <c r="D6" s="24" t="s">
        <v>335</v>
      </c>
      <c r="E6" s="35" t="s">
        <v>336</v>
      </c>
      <c r="F6" s="46">
        <v>46235</v>
      </c>
      <c r="G6" s="46">
        <v>46356</v>
      </c>
      <c r="H6" s="36" t="s">
        <v>337</v>
      </c>
      <c r="I6" s="47">
        <v>0.4</v>
      </c>
      <c r="J6" s="46"/>
      <c r="K6" s="37">
        <f ca="1">IF(OR(G6="",H6="Completed",H6="Cancelled"),"",MAX(0,Methodology!$B$4-G6))</f>
        <v>0</v>
      </c>
      <c r="L6" s="37" t="str">
        <f ca="1">IF(A6="","",IF(H6="Completed","Complete",IF(H6="Cancelled","Cancelled",IF(G6="","No due date",IF(Methodology!$B$4&gt;G6,"Overdue",IF(G6-Methodology!$B$4&lt;=Methodology!$B$5,"Due soon","On track"))))))</f>
        <v>On track</v>
      </c>
      <c r="M6" s="36">
        <v>8</v>
      </c>
      <c r="N6" s="37">
        <f ca="1">IF(B6="","",IFERROR(INDEX('Risk Register'!$O$6:$O$105,MATCH(B6,'Risk Register'!$A$6:$A$105,0)),""))</f>
        <v>15</v>
      </c>
      <c r="O6" s="37">
        <f t="shared" ref="O6:O37" ca="1" si="0">IF(OR(M6="",N6=""),"",N6-M6)</f>
        <v>7</v>
      </c>
      <c r="P6" s="24" t="s">
        <v>338</v>
      </c>
    </row>
    <row r="7" spans="1:16" x14ac:dyDescent="0.35">
      <c r="A7" s="35" t="s">
        <v>339</v>
      </c>
      <c r="B7" s="35" t="s">
        <v>258</v>
      </c>
      <c r="C7" s="44" t="str">
        <f>IF(B7="","",IFERROR(INDEX('Risk Register'!$B$6:$B$105,MATCH(B7,'Risk Register'!$A$6:$A$105,0)),"Unknown Risk ID"))</f>
        <v>Ransomware on production</v>
      </c>
      <c r="D7" s="24" t="s">
        <v>340</v>
      </c>
      <c r="E7" s="35" t="s">
        <v>336</v>
      </c>
      <c r="F7" s="46">
        <v>46204</v>
      </c>
      <c r="G7" s="46">
        <v>46295</v>
      </c>
      <c r="H7" s="36" t="s">
        <v>337</v>
      </c>
      <c r="I7" s="47">
        <v>0.7</v>
      </c>
      <c r="J7" s="46"/>
      <c r="K7" s="37">
        <f ca="1">IF(OR(G7="",H7="Completed",H7="Cancelled"),"",MAX(0,Methodology!$B$4-G7))</f>
        <v>23</v>
      </c>
      <c r="L7" s="37" t="str">
        <f ca="1">IF(A7="","",IF(H7="Completed","Complete",IF(H7="Cancelled","Cancelled",IF(G7="","No due date",IF(Methodology!$B$4&gt;G7,"Overdue",IF(G7-Methodology!$B$4&lt;=Methodology!$B$5,"Due soon","On track"))))))</f>
        <v>Overdue</v>
      </c>
      <c r="M7" s="36">
        <v>10</v>
      </c>
      <c r="N7" s="37">
        <f ca="1">IF(B7="","",IFERROR(INDEX('Risk Register'!$O$6:$O$105,MATCH(B7,'Risk Register'!$A$6:$A$105,0)),""))</f>
        <v>15</v>
      </c>
      <c r="O7" s="37">
        <f t="shared" ca="1" si="0"/>
        <v>5</v>
      </c>
      <c r="P7" s="24" t="s">
        <v>341</v>
      </c>
    </row>
    <row r="8" spans="1:16" x14ac:dyDescent="0.35">
      <c r="A8" s="35" t="s">
        <v>342</v>
      </c>
      <c r="B8" s="35" t="s">
        <v>275</v>
      </c>
      <c r="C8" s="44" t="str">
        <f>IF(B8="","",IFERROR(INDEX('Risk Register'!$B$6:$B$105,MATCH(B8,'Risk Register'!$A$6:$A$105,0)),"Unknown Risk ID"))</f>
        <v>Missed regulatory deadlines</v>
      </c>
      <c r="D8" s="24" t="s">
        <v>343</v>
      </c>
      <c r="E8" s="35" t="s">
        <v>278</v>
      </c>
      <c r="F8" s="46">
        <v>46310</v>
      </c>
      <c r="G8" s="46">
        <v>46341</v>
      </c>
      <c r="H8" s="36" t="s">
        <v>344</v>
      </c>
      <c r="I8" s="47">
        <v>0</v>
      </c>
      <c r="J8" s="46"/>
      <c r="K8" s="37">
        <f ca="1">IF(OR(G8="",H8="Completed",H8="Cancelled"),"",MAX(0,Methodology!$B$4-G8))</f>
        <v>0</v>
      </c>
      <c r="L8" s="37" t="str">
        <f ca="1">IF(A8="","",IF(H8="Completed","Complete",IF(H8="Cancelled","Cancelled",IF(G8="","No due date",IF(Methodology!$B$4&gt;G8,"Overdue",IF(G8-Methodology!$B$4&lt;=Methodology!$B$5,"Due soon","On track"))))))</f>
        <v>Due soon</v>
      </c>
      <c r="M8" s="36">
        <v>4</v>
      </c>
      <c r="N8" s="37">
        <f ca="1">IF(B8="","",IFERROR(INDEX('Risk Register'!$O$6:$O$105,MATCH(B8,'Risk Register'!$A$6:$A$105,0)),""))</f>
        <v>8</v>
      </c>
      <c r="O8" s="37">
        <f t="shared" ca="1" si="0"/>
        <v>4</v>
      </c>
      <c r="P8" s="24"/>
    </row>
    <row r="9" spans="1:16" x14ac:dyDescent="0.35">
      <c r="A9" s="35" t="s">
        <v>345</v>
      </c>
      <c r="B9" s="35" t="s">
        <v>287</v>
      </c>
      <c r="C9" s="44" t="str">
        <f>IF(B9="","",IFERROR(INDEX('Risk Register'!$B$6:$B$105,MATCH(B9,'Risk Register'!$A$6:$A$105,0)),"Unknown Risk ID"))</f>
        <v>Legacy ERP out of support</v>
      </c>
      <c r="D9" s="24" t="s">
        <v>346</v>
      </c>
      <c r="E9" s="35" t="s">
        <v>290</v>
      </c>
      <c r="F9" s="46">
        <v>46266</v>
      </c>
      <c r="G9" s="46">
        <v>46446</v>
      </c>
      <c r="H9" s="36" t="s">
        <v>337</v>
      </c>
      <c r="I9" s="47">
        <v>0.25</v>
      </c>
      <c r="J9" s="46"/>
      <c r="K9" s="37">
        <f ca="1">IF(OR(G9="",H9="Completed",H9="Cancelled"),"",MAX(0,Methodology!$B$4-G9))</f>
        <v>0</v>
      </c>
      <c r="L9" s="37" t="str">
        <f ca="1">IF(A9="","",IF(H9="Completed","Complete",IF(H9="Cancelled","Cancelled",IF(G9="","No due date",IF(Methodology!$B$4&gt;G9,"Overdue",IF(G9-Methodology!$B$4&lt;=Methodology!$B$5,"Due soon","On track"))))))</f>
        <v>On track</v>
      </c>
      <c r="M9" s="36">
        <v>6</v>
      </c>
      <c r="N9" s="37">
        <f ca="1">IF(B9="","",IFERROR(INDEX('Risk Register'!$O$6:$O$105,MATCH(B9,'Risk Register'!$A$6:$A$105,0)),""))</f>
        <v>15</v>
      </c>
      <c r="O9" s="37">
        <f t="shared" ca="1" si="0"/>
        <v>9</v>
      </c>
      <c r="P9" s="24"/>
    </row>
    <row r="10" spans="1:16" x14ac:dyDescent="0.35">
      <c r="A10" s="35" t="s">
        <v>347</v>
      </c>
      <c r="B10" s="35" t="s">
        <v>281</v>
      </c>
      <c r="C10" s="44" t="str">
        <f>IF(B10="","",IFERROR(INDEX('Risk Register'!$B$6:$B$105,MATCH(B10,'Risk Register'!$A$6:$A$105,0)),"Unknown Risk ID"))</f>
        <v>Key-person dependency</v>
      </c>
      <c r="D10" s="24" t="s">
        <v>348</v>
      </c>
      <c r="E10" s="35" t="s">
        <v>284</v>
      </c>
      <c r="F10" s="46">
        <v>46174</v>
      </c>
      <c r="G10" s="46">
        <v>46264</v>
      </c>
      <c r="H10" s="36" t="s">
        <v>349</v>
      </c>
      <c r="I10" s="47">
        <v>1</v>
      </c>
      <c r="J10" s="46">
        <v>46262</v>
      </c>
      <c r="K10" s="37" t="str">
        <f>IF(OR(G10="",H10="Completed",H10="Cancelled"),"",MAX(0,Methodology!$B$4-G10))</f>
        <v/>
      </c>
      <c r="L10" s="37" t="str">
        <f>IF(A10="","",IF(H10="Completed","Complete",IF(H10="Cancelled","Cancelled",IF(G10="","No due date",IF(Methodology!$B$4&gt;G10,"Overdue",IF(G10-Methodology!$B$4&lt;=Methodology!$B$5,"Due soon","On track"))))))</f>
        <v>Complete</v>
      </c>
      <c r="M10" s="36">
        <v>6</v>
      </c>
      <c r="N10" s="37">
        <f ca="1">IF(B10="","",IFERROR(INDEX('Risk Register'!$O$6:$O$105,MATCH(B10,'Risk Register'!$A$6:$A$105,0)),""))</f>
        <v>9</v>
      </c>
      <c r="O10" s="37">
        <f t="shared" ca="1" si="0"/>
        <v>3</v>
      </c>
      <c r="P10" s="24"/>
    </row>
    <row r="11" spans="1:16" x14ac:dyDescent="0.35">
      <c r="A11" s="35"/>
      <c r="B11" s="35"/>
      <c r="C11" s="44" t="str">
        <f>IF(B11="","",IFERROR(INDEX('Risk Register'!$B$6:$B$105,MATCH(B11,'Risk Register'!$A$6:$A$105,0)),"Unknown Risk ID"))</f>
        <v/>
      </c>
      <c r="D11" s="24"/>
      <c r="E11" s="35"/>
      <c r="F11" s="46"/>
      <c r="G11" s="46"/>
      <c r="H11" s="36"/>
      <c r="I11" s="47"/>
      <c r="J11" s="46"/>
      <c r="K11" s="37" t="str">
        <f>IF(OR(G11="",H11="Completed",H11="Cancelled"),"",MAX(0,Methodology!$B$4-G11))</f>
        <v/>
      </c>
      <c r="L11" s="37" t="str">
        <f>IF(A11="","",IF(H11="Completed","Complete",IF(H11="Cancelled","Cancelled",IF(G11="","No due date",IF(Methodology!$B$4&gt;G11,"Overdue",IF(G11-Methodology!$B$4&lt;=Methodology!$B$5,"Due soon","On track"))))))</f>
        <v/>
      </c>
      <c r="M11" s="36"/>
      <c r="N11" s="37" t="str">
        <f>IF(B11="","",IFERROR(INDEX('Risk Register'!$O$6:$O$105,MATCH(B11,'Risk Register'!$A$6:$A$105,0)),""))</f>
        <v/>
      </c>
      <c r="O11" s="37" t="str">
        <f t="shared" si="0"/>
        <v/>
      </c>
      <c r="P11" s="24"/>
    </row>
    <row r="12" spans="1:16" x14ac:dyDescent="0.35">
      <c r="A12" s="35"/>
      <c r="B12" s="35"/>
      <c r="C12" s="44" t="str">
        <f>IF(B12="","",IFERROR(INDEX('Risk Register'!$B$6:$B$105,MATCH(B12,'Risk Register'!$A$6:$A$105,0)),"Unknown Risk ID"))</f>
        <v/>
      </c>
      <c r="D12" s="24"/>
      <c r="E12" s="35"/>
      <c r="F12" s="46"/>
      <c r="G12" s="46"/>
      <c r="H12" s="36"/>
      <c r="I12" s="47"/>
      <c r="J12" s="46"/>
      <c r="K12" s="37" t="str">
        <f>IF(OR(G12="",H12="Completed",H12="Cancelled"),"",MAX(0,Methodology!$B$4-G12))</f>
        <v/>
      </c>
      <c r="L12" s="37" t="str">
        <f>IF(A12="","",IF(H12="Completed","Complete",IF(H12="Cancelled","Cancelled",IF(G12="","No due date",IF(Methodology!$B$4&gt;G12,"Overdue",IF(G12-Methodology!$B$4&lt;=Methodology!$B$5,"Due soon","On track"))))))</f>
        <v/>
      </c>
      <c r="M12" s="36"/>
      <c r="N12" s="37" t="str">
        <f>IF(B12="","",IFERROR(INDEX('Risk Register'!$O$6:$O$105,MATCH(B12,'Risk Register'!$A$6:$A$105,0)),""))</f>
        <v/>
      </c>
      <c r="O12" s="37" t="str">
        <f t="shared" si="0"/>
        <v/>
      </c>
      <c r="P12" s="24"/>
    </row>
    <row r="13" spans="1:16" x14ac:dyDescent="0.35">
      <c r="A13" s="35"/>
      <c r="B13" s="35"/>
      <c r="C13" s="44" t="str">
        <f>IF(B13="","",IFERROR(INDEX('Risk Register'!$B$6:$B$105,MATCH(B13,'Risk Register'!$A$6:$A$105,0)),"Unknown Risk ID"))</f>
        <v/>
      </c>
      <c r="D13" s="24"/>
      <c r="E13" s="35"/>
      <c r="F13" s="46"/>
      <c r="G13" s="46"/>
      <c r="H13" s="36"/>
      <c r="I13" s="47"/>
      <c r="J13" s="46"/>
      <c r="K13" s="37" t="str">
        <f>IF(OR(G13="",H13="Completed",H13="Cancelled"),"",MAX(0,Methodology!$B$4-G13))</f>
        <v/>
      </c>
      <c r="L13" s="37" t="str">
        <f>IF(A13="","",IF(H13="Completed","Complete",IF(H13="Cancelled","Cancelled",IF(G13="","No due date",IF(Methodology!$B$4&gt;G13,"Overdue",IF(G13-Methodology!$B$4&lt;=Methodology!$B$5,"Due soon","On track"))))))</f>
        <v/>
      </c>
      <c r="M13" s="36"/>
      <c r="N13" s="37" t="str">
        <f>IF(B13="","",IFERROR(INDEX('Risk Register'!$O$6:$O$105,MATCH(B13,'Risk Register'!$A$6:$A$105,0)),""))</f>
        <v/>
      </c>
      <c r="O13" s="37" t="str">
        <f t="shared" si="0"/>
        <v/>
      </c>
      <c r="P13" s="24"/>
    </row>
    <row r="14" spans="1:16" x14ac:dyDescent="0.35">
      <c r="A14" s="35"/>
      <c r="B14" s="35"/>
      <c r="C14" s="44" t="str">
        <f>IF(B14="","",IFERROR(INDEX('Risk Register'!$B$6:$B$105,MATCH(B14,'Risk Register'!$A$6:$A$105,0)),"Unknown Risk ID"))</f>
        <v/>
      </c>
      <c r="D14" s="24"/>
      <c r="E14" s="35"/>
      <c r="F14" s="46"/>
      <c r="G14" s="46"/>
      <c r="H14" s="36"/>
      <c r="I14" s="47"/>
      <c r="J14" s="46"/>
      <c r="K14" s="37" t="str">
        <f>IF(OR(G14="",H14="Completed",H14="Cancelled"),"",MAX(0,Methodology!$B$4-G14))</f>
        <v/>
      </c>
      <c r="L14" s="37" t="str">
        <f>IF(A14="","",IF(H14="Completed","Complete",IF(H14="Cancelled","Cancelled",IF(G14="","No due date",IF(Methodology!$B$4&gt;G14,"Overdue",IF(G14-Methodology!$B$4&lt;=Methodology!$B$5,"Due soon","On track"))))))</f>
        <v/>
      </c>
      <c r="M14" s="36"/>
      <c r="N14" s="37" t="str">
        <f>IF(B14="","",IFERROR(INDEX('Risk Register'!$O$6:$O$105,MATCH(B14,'Risk Register'!$A$6:$A$105,0)),""))</f>
        <v/>
      </c>
      <c r="O14" s="37" t="str">
        <f t="shared" si="0"/>
        <v/>
      </c>
      <c r="P14" s="24"/>
    </row>
    <row r="15" spans="1:16" x14ac:dyDescent="0.35">
      <c r="A15" s="35"/>
      <c r="B15" s="35"/>
      <c r="C15" s="44" t="str">
        <f>IF(B15="","",IFERROR(INDEX('Risk Register'!$B$6:$B$105,MATCH(B15,'Risk Register'!$A$6:$A$105,0)),"Unknown Risk ID"))</f>
        <v/>
      </c>
      <c r="D15" s="24"/>
      <c r="E15" s="35"/>
      <c r="F15" s="46"/>
      <c r="G15" s="46"/>
      <c r="H15" s="36"/>
      <c r="I15" s="47"/>
      <c r="J15" s="46"/>
      <c r="K15" s="37" t="str">
        <f>IF(OR(G15="",H15="Completed",H15="Cancelled"),"",MAX(0,Methodology!$B$4-G15))</f>
        <v/>
      </c>
      <c r="L15" s="37" t="str">
        <f>IF(A15="","",IF(H15="Completed","Complete",IF(H15="Cancelled","Cancelled",IF(G15="","No due date",IF(Methodology!$B$4&gt;G15,"Overdue",IF(G15-Methodology!$B$4&lt;=Methodology!$B$5,"Due soon","On track"))))))</f>
        <v/>
      </c>
      <c r="M15" s="36"/>
      <c r="N15" s="37" t="str">
        <f>IF(B15="","",IFERROR(INDEX('Risk Register'!$O$6:$O$105,MATCH(B15,'Risk Register'!$A$6:$A$105,0)),""))</f>
        <v/>
      </c>
      <c r="O15" s="37" t="str">
        <f t="shared" si="0"/>
        <v/>
      </c>
      <c r="P15" s="24"/>
    </row>
    <row r="16" spans="1:16" x14ac:dyDescent="0.35">
      <c r="A16" s="35"/>
      <c r="B16" s="35"/>
      <c r="C16" s="44" t="str">
        <f>IF(B16="","",IFERROR(INDEX('Risk Register'!$B$6:$B$105,MATCH(B16,'Risk Register'!$A$6:$A$105,0)),"Unknown Risk ID"))</f>
        <v/>
      </c>
      <c r="D16" s="24"/>
      <c r="E16" s="35"/>
      <c r="F16" s="46"/>
      <c r="G16" s="46"/>
      <c r="H16" s="36"/>
      <c r="I16" s="47"/>
      <c r="J16" s="46"/>
      <c r="K16" s="37" t="str">
        <f>IF(OR(G16="",H16="Completed",H16="Cancelled"),"",MAX(0,Methodology!$B$4-G16))</f>
        <v/>
      </c>
      <c r="L16" s="37" t="str">
        <f>IF(A16="","",IF(H16="Completed","Complete",IF(H16="Cancelled","Cancelled",IF(G16="","No due date",IF(Methodology!$B$4&gt;G16,"Overdue",IF(G16-Methodology!$B$4&lt;=Methodology!$B$5,"Due soon","On track"))))))</f>
        <v/>
      </c>
      <c r="M16" s="36"/>
      <c r="N16" s="37" t="str">
        <f>IF(B16="","",IFERROR(INDEX('Risk Register'!$O$6:$O$105,MATCH(B16,'Risk Register'!$A$6:$A$105,0)),""))</f>
        <v/>
      </c>
      <c r="O16" s="37" t="str">
        <f t="shared" si="0"/>
        <v/>
      </c>
      <c r="P16" s="24"/>
    </row>
    <row r="17" spans="1:16" x14ac:dyDescent="0.35">
      <c r="A17" s="35"/>
      <c r="B17" s="35"/>
      <c r="C17" s="44" t="str">
        <f>IF(B17="","",IFERROR(INDEX('Risk Register'!$B$6:$B$105,MATCH(B17,'Risk Register'!$A$6:$A$105,0)),"Unknown Risk ID"))</f>
        <v/>
      </c>
      <c r="D17" s="24"/>
      <c r="E17" s="35"/>
      <c r="F17" s="46"/>
      <c r="G17" s="46"/>
      <c r="H17" s="36"/>
      <c r="I17" s="47"/>
      <c r="J17" s="46"/>
      <c r="K17" s="37" t="str">
        <f>IF(OR(G17="",H17="Completed",H17="Cancelled"),"",MAX(0,Methodology!$B$4-G17))</f>
        <v/>
      </c>
      <c r="L17" s="37" t="str">
        <f>IF(A17="","",IF(H17="Completed","Complete",IF(H17="Cancelled","Cancelled",IF(G17="","No due date",IF(Methodology!$B$4&gt;G17,"Overdue",IF(G17-Methodology!$B$4&lt;=Methodology!$B$5,"Due soon","On track"))))))</f>
        <v/>
      </c>
      <c r="M17" s="36"/>
      <c r="N17" s="37" t="str">
        <f>IF(B17="","",IFERROR(INDEX('Risk Register'!$O$6:$O$105,MATCH(B17,'Risk Register'!$A$6:$A$105,0)),""))</f>
        <v/>
      </c>
      <c r="O17" s="37" t="str">
        <f t="shared" si="0"/>
        <v/>
      </c>
      <c r="P17" s="24"/>
    </row>
    <row r="18" spans="1:16" x14ac:dyDescent="0.35">
      <c r="A18" s="35"/>
      <c r="B18" s="35"/>
      <c r="C18" s="44" t="str">
        <f>IF(B18="","",IFERROR(INDEX('Risk Register'!$B$6:$B$105,MATCH(B18,'Risk Register'!$A$6:$A$105,0)),"Unknown Risk ID"))</f>
        <v/>
      </c>
      <c r="D18" s="24"/>
      <c r="E18" s="35"/>
      <c r="F18" s="46"/>
      <c r="G18" s="46"/>
      <c r="H18" s="36"/>
      <c r="I18" s="47"/>
      <c r="J18" s="46"/>
      <c r="K18" s="37" t="str">
        <f>IF(OR(G18="",H18="Completed",H18="Cancelled"),"",MAX(0,Methodology!$B$4-G18))</f>
        <v/>
      </c>
      <c r="L18" s="37" t="str">
        <f>IF(A18="","",IF(H18="Completed","Complete",IF(H18="Cancelled","Cancelled",IF(G18="","No due date",IF(Methodology!$B$4&gt;G18,"Overdue",IF(G18-Methodology!$B$4&lt;=Methodology!$B$5,"Due soon","On track"))))))</f>
        <v/>
      </c>
      <c r="M18" s="36"/>
      <c r="N18" s="37" t="str">
        <f>IF(B18="","",IFERROR(INDEX('Risk Register'!$O$6:$O$105,MATCH(B18,'Risk Register'!$A$6:$A$105,0)),""))</f>
        <v/>
      </c>
      <c r="O18" s="37" t="str">
        <f t="shared" si="0"/>
        <v/>
      </c>
      <c r="P18" s="24"/>
    </row>
    <row r="19" spans="1:16" x14ac:dyDescent="0.35">
      <c r="A19" s="35"/>
      <c r="B19" s="35"/>
      <c r="C19" s="44" t="str">
        <f>IF(B19="","",IFERROR(INDEX('Risk Register'!$B$6:$B$105,MATCH(B19,'Risk Register'!$A$6:$A$105,0)),"Unknown Risk ID"))</f>
        <v/>
      </c>
      <c r="D19" s="24"/>
      <c r="E19" s="35"/>
      <c r="F19" s="46"/>
      <c r="G19" s="46"/>
      <c r="H19" s="36"/>
      <c r="I19" s="47"/>
      <c r="J19" s="46"/>
      <c r="K19" s="37" t="str">
        <f>IF(OR(G19="",H19="Completed",H19="Cancelled"),"",MAX(0,Methodology!$B$4-G19))</f>
        <v/>
      </c>
      <c r="L19" s="37" t="str">
        <f>IF(A19="","",IF(H19="Completed","Complete",IF(H19="Cancelled","Cancelled",IF(G19="","No due date",IF(Methodology!$B$4&gt;G19,"Overdue",IF(G19-Methodology!$B$4&lt;=Methodology!$B$5,"Due soon","On track"))))))</f>
        <v/>
      </c>
      <c r="M19" s="36"/>
      <c r="N19" s="37" t="str">
        <f>IF(B19="","",IFERROR(INDEX('Risk Register'!$O$6:$O$105,MATCH(B19,'Risk Register'!$A$6:$A$105,0)),""))</f>
        <v/>
      </c>
      <c r="O19" s="37" t="str">
        <f t="shared" si="0"/>
        <v/>
      </c>
      <c r="P19" s="24"/>
    </row>
    <row r="20" spans="1:16" x14ac:dyDescent="0.35">
      <c r="A20" s="35"/>
      <c r="B20" s="35"/>
      <c r="C20" s="44" t="str">
        <f>IF(B20="","",IFERROR(INDEX('Risk Register'!$B$6:$B$105,MATCH(B20,'Risk Register'!$A$6:$A$105,0)),"Unknown Risk ID"))</f>
        <v/>
      </c>
      <c r="D20" s="24"/>
      <c r="E20" s="35"/>
      <c r="F20" s="46"/>
      <c r="G20" s="46"/>
      <c r="H20" s="36"/>
      <c r="I20" s="47"/>
      <c r="J20" s="46"/>
      <c r="K20" s="37" t="str">
        <f>IF(OR(G20="",H20="Completed",H20="Cancelled"),"",MAX(0,Methodology!$B$4-G20))</f>
        <v/>
      </c>
      <c r="L20" s="37" t="str">
        <f>IF(A20="","",IF(H20="Completed","Complete",IF(H20="Cancelled","Cancelled",IF(G20="","No due date",IF(Methodology!$B$4&gt;G20,"Overdue",IF(G20-Methodology!$B$4&lt;=Methodology!$B$5,"Due soon","On track"))))))</f>
        <v/>
      </c>
      <c r="M20" s="36"/>
      <c r="N20" s="37" t="str">
        <f>IF(B20="","",IFERROR(INDEX('Risk Register'!$O$6:$O$105,MATCH(B20,'Risk Register'!$A$6:$A$105,0)),""))</f>
        <v/>
      </c>
      <c r="O20" s="37" t="str">
        <f t="shared" si="0"/>
        <v/>
      </c>
      <c r="P20" s="24"/>
    </row>
    <row r="21" spans="1:16" x14ac:dyDescent="0.35">
      <c r="A21" s="35"/>
      <c r="B21" s="35"/>
      <c r="C21" s="44" t="str">
        <f>IF(B21="","",IFERROR(INDEX('Risk Register'!$B$6:$B$105,MATCH(B21,'Risk Register'!$A$6:$A$105,0)),"Unknown Risk ID"))</f>
        <v/>
      </c>
      <c r="D21" s="24"/>
      <c r="E21" s="35"/>
      <c r="F21" s="46"/>
      <c r="G21" s="46"/>
      <c r="H21" s="36"/>
      <c r="I21" s="47"/>
      <c r="J21" s="46"/>
      <c r="K21" s="37" t="str">
        <f>IF(OR(G21="",H21="Completed",H21="Cancelled"),"",MAX(0,Methodology!$B$4-G21))</f>
        <v/>
      </c>
      <c r="L21" s="37" t="str">
        <f>IF(A21="","",IF(H21="Completed","Complete",IF(H21="Cancelled","Cancelled",IF(G21="","No due date",IF(Methodology!$B$4&gt;G21,"Overdue",IF(G21-Methodology!$B$4&lt;=Methodology!$B$5,"Due soon","On track"))))))</f>
        <v/>
      </c>
      <c r="M21" s="36"/>
      <c r="N21" s="37" t="str">
        <f>IF(B21="","",IFERROR(INDEX('Risk Register'!$O$6:$O$105,MATCH(B21,'Risk Register'!$A$6:$A$105,0)),""))</f>
        <v/>
      </c>
      <c r="O21" s="37" t="str">
        <f t="shared" si="0"/>
        <v/>
      </c>
      <c r="P21" s="24"/>
    </row>
    <row r="22" spans="1:16" x14ac:dyDescent="0.35">
      <c r="A22" s="35"/>
      <c r="B22" s="35"/>
      <c r="C22" s="44" t="str">
        <f>IF(B22="","",IFERROR(INDEX('Risk Register'!$B$6:$B$105,MATCH(B22,'Risk Register'!$A$6:$A$105,0)),"Unknown Risk ID"))</f>
        <v/>
      </c>
      <c r="D22" s="24"/>
      <c r="E22" s="35"/>
      <c r="F22" s="46"/>
      <c r="G22" s="46"/>
      <c r="H22" s="36"/>
      <c r="I22" s="47"/>
      <c r="J22" s="46"/>
      <c r="K22" s="37" t="str">
        <f>IF(OR(G22="",H22="Completed",H22="Cancelled"),"",MAX(0,Methodology!$B$4-G22))</f>
        <v/>
      </c>
      <c r="L22" s="37" t="str">
        <f>IF(A22="","",IF(H22="Completed","Complete",IF(H22="Cancelled","Cancelled",IF(G22="","No due date",IF(Methodology!$B$4&gt;G22,"Overdue",IF(G22-Methodology!$B$4&lt;=Methodology!$B$5,"Due soon","On track"))))))</f>
        <v/>
      </c>
      <c r="M22" s="36"/>
      <c r="N22" s="37" t="str">
        <f>IF(B22="","",IFERROR(INDEX('Risk Register'!$O$6:$O$105,MATCH(B22,'Risk Register'!$A$6:$A$105,0)),""))</f>
        <v/>
      </c>
      <c r="O22" s="37" t="str">
        <f t="shared" si="0"/>
        <v/>
      </c>
      <c r="P22" s="24"/>
    </row>
    <row r="23" spans="1:16" x14ac:dyDescent="0.35">
      <c r="A23" s="35"/>
      <c r="B23" s="35"/>
      <c r="C23" s="44" t="str">
        <f>IF(B23="","",IFERROR(INDEX('Risk Register'!$B$6:$B$105,MATCH(B23,'Risk Register'!$A$6:$A$105,0)),"Unknown Risk ID"))</f>
        <v/>
      </c>
      <c r="D23" s="24"/>
      <c r="E23" s="35"/>
      <c r="F23" s="46"/>
      <c r="G23" s="46"/>
      <c r="H23" s="36"/>
      <c r="I23" s="47"/>
      <c r="J23" s="46"/>
      <c r="K23" s="37" t="str">
        <f>IF(OR(G23="",H23="Completed",H23="Cancelled"),"",MAX(0,Methodology!$B$4-G23))</f>
        <v/>
      </c>
      <c r="L23" s="37" t="str">
        <f>IF(A23="","",IF(H23="Completed","Complete",IF(H23="Cancelled","Cancelled",IF(G23="","No due date",IF(Methodology!$B$4&gt;G23,"Overdue",IF(G23-Methodology!$B$4&lt;=Methodology!$B$5,"Due soon","On track"))))))</f>
        <v/>
      </c>
      <c r="M23" s="36"/>
      <c r="N23" s="37" t="str">
        <f>IF(B23="","",IFERROR(INDEX('Risk Register'!$O$6:$O$105,MATCH(B23,'Risk Register'!$A$6:$A$105,0)),""))</f>
        <v/>
      </c>
      <c r="O23" s="37" t="str">
        <f t="shared" si="0"/>
        <v/>
      </c>
      <c r="P23" s="24"/>
    </row>
    <row r="24" spans="1:16" x14ac:dyDescent="0.35">
      <c r="A24" s="35"/>
      <c r="B24" s="35"/>
      <c r="C24" s="44" t="str">
        <f>IF(B24="","",IFERROR(INDEX('Risk Register'!$B$6:$B$105,MATCH(B24,'Risk Register'!$A$6:$A$105,0)),"Unknown Risk ID"))</f>
        <v/>
      </c>
      <c r="D24" s="24"/>
      <c r="E24" s="35"/>
      <c r="F24" s="46"/>
      <c r="G24" s="46"/>
      <c r="H24" s="36"/>
      <c r="I24" s="47"/>
      <c r="J24" s="46"/>
      <c r="K24" s="37" t="str">
        <f>IF(OR(G24="",H24="Completed",H24="Cancelled"),"",MAX(0,Methodology!$B$4-G24))</f>
        <v/>
      </c>
      <c r="L24" s="37" t="str">
        <f>IF(A24="","",IF(H24="Completed","Complete",IF(H24="Cancelled","Cancelled",IF(G24="","No due date",IF(Methodology!$B$4&gt;G24,"Overdue",IF(G24-Methodology!$B$4&lt;=Methodology!$B$5,"Due soon","On track"))))))</f>
        <v/>
      </c>
      <c r="M24" s="36"/>
      <c r="N24" s="37" t="str">
        <f>IF(B24="","",IFERROR(INDEX('Risk Register'!$O$6:$O$105,MATCH(B24,'Risk Register'!$A$6:$A$105,0)),""))</f>
        <v/>
      </c>
      <c r="O24" s="37" t="str">
        <f t="shared" si="0"/>
        <v/>
      </c>
      <c r="P24" s="24"/>
    </row>
    <row r="25" spans="1:16" x14ac:dyDescent="0.35">
      <c r="A25" s="35"/>
      <c r="B25" s="35"/>
      <c r="C25" s="44" t="str">
        <f>IF(B25="","",IFERROR(INDEX('Risk Register'!$B$6:$B$105,MATCH(B25,'Risk Register'!$A$6:$A$105,0)),"Unknown Risk ID"))</f>
        <v/>
      </c>
      <c r="D25" s="24"/>
      <c r="E25" s="35"/>
      <c r="F25" s="46"/>
      <c r="G25" s="46"/>
      <c r="H25" s="36"/>
      <c r="I25" s="47"/>
      <c r="J25" s="46"/>
      <c r="K25" s="37" t="str">
        <f>IF(OR(G25="",H25="Completed",H25="Cancelled"),"",MAX(0,Methodology!$B$4-G25))</f>
        <v/>
      </c>
      <c r="L25" s="37" t="str">
        <f>IF(A25="","",IF(H25="Completed","Complete",IF(H25="Cancelled","Cancelled",IF(G25="","No due date",IF(Methodology!$B$4&gt;G25,"Overdue",IF(G25-Methodology!$B$4&lt;=Methodology!$B$5,"Due soon","On track"))))))</f>
        <v/>
      </c>
      <c r="M25" s="36"/>
      <c r="N25" s="37" t="str">
        <f>IF(B25="","",IFERROR(INDEX('Risk Register'!$O$6:$O$105,MATCH(B25,'Risk Register'!$A$6:$A$105,0)),""))</f>
        <v/>
      </c>
      <c r="O25" s="37" t="str">
        <f t="shared" si="0"/>
        <v/>
      </c>
      <c r="P25" s="24"/>
    </row>
    <row r="26" spans="1:16" x14ac:dyDescent="0.35">
      <c r="A26" s="35"/>
      <c r="B26" s="35"/>
      <c r="C26" s="44" t="str">
        <f>IF(B26="","",IFERROR(INDEX('Risk Register'!$B$6:$B$105,MATCH(B26,'Risk Register'!$A$6:$A$105,0)),"Unknown Risk ID"))</f>
        <v/>
      </c>
      <c r="D26" s="24"/>
      <c r="E26" s="35"/>
      <c r="F26" s="46"/>
      <c r="G26" s="46"/>
      <c r="H26" s="36"/>
      <c r="I26" s="47"/>
      <c r="J26" s="46"/>
      <c r="K26" s="37" t="str">
        <f>IF(OR(G26="",H26="Completed",H26="Cancelled"),"",MAX(0,Methodology!$B$4-G26))</f>
        <v/>
      </c>
      <c r="L26" s="37" t="str">
        <f>IF(A26="","",IF(H26="Completed","Complete",IF(H26="Cancelled","Cancelled",IF(G26="","No due date",IF(Methodology!$B$4&gt;G26,"Overdue",IF(G26-Methodology!$B$4&lt;=Methodology!$B$5,"Due soon","On track"))))))</f>
        <v/>
      </c>
      <c r="M26" s="36"/>
      <c r="N26" s="37" t="str">
        <f>IF(B26="","",IFERROR(INDEX('Risk Register'!$O$6:$O$105,MATCH(B26,'Risk Register'!$A$6:$A$105,0)),""))</f>
        <v/>
      </c>
      <c r="O26" s="37" t="str">
        <f t="shared" si="0"/>
        <v/>
      </c>
      <c r="P26" s="24"/>
    </row>
    <row r="27" spans="1:16" x14ac:dyDescent="0.35">
      <c r="A27" s="35"/>
      <c r="B27" s="35"/>
      <c r="C27" s="44" t="str">
        <f>IF(B27="","",IFERROR(INDEX('Risk Register'!$B$6:$B$105,MATCH(B27,'Risk Register'!$A$6:$A$105,0)),"Unknown Risk ID"))</f>
        <v/>
      </c>
      <c r="D27" s="24"/>
      <c r="E27" s="35"/>
      <c r="F27" s="46"/>
      <c r="G27" s="46"/>
      <c r="H27" s="36"/>
      <c r="I27" s="47"/>
      <c r="J27" s="46"/>
      <c r="K27" s="37" t="str">
        <f>IF(OR(G27="",H27="Completed",H27="Cancelled"),"",MAX(0,Methodology!$B$4-G27))</f>
        <v/>
      </c>
      <c r="L27" s="37" t="str">
        <f>IF(A27="","",IF(H27="Completed","Complete",IF(H27="Cancelled","Cancelled",IF(G27="","No due date",IF(Methodology!$B$4&gt;G27,"Overdue",IF(G27-Methodology!$B$4&lt;=Methodology!$B$5,"Due soon","On track"))))))</f>
        <v/>
      </c>
      <c r="M27" s="36"/>
      <c r="N27" s="37" t="str">
        <f>IF(B27="","",IFERROR(INDEX('Risk Register'!$O$6:$O$105,MATCH(B27,'Risk Register'!$A$6:$A$105,0)),""))</f>
        <v/>
      </c>
      <c r="O27" s="37" t="str">
        <f t="shared" si="0"/>
        <v/>
      </c>
      <c r="P27" s="24"/>
    </row>
    <row r="28" spans="1:16" x14ac:dyDescent="0.35">
      <c r="A28" s="35"/>
      <c r="B28" s="35"/>
      <c r="C28" s="44" t="str">
        <f>IF(B28="","",IFERROR(INDEX('Risk Register'!$B$6:$B$105,MATCH(B28,'Risk Register'!$A$6:$A$105,0)),"Unknown Risk ID"))</f>
        <v/>
      </c>
      <c r="D28" s="24"/>
      <c r="E28" s="35"/>
      <c r="F28" s="46"/>
      <c r="G28" s="46"/>
      <c r="H28" s="36"/>
      <c r="I28" s="47"/>
      <c r="J28" s="46"/>
      <c r="K28" s="37" t="str">
        <f>IF(OR(G28="",H28="Completed",H28="Cancelled"),"",MAX(0,Methodology!$B$4-G28))</f>
        <v/>
      </c>
      <c r="L28" s="37" t="str">
        <f>IF(A28="","",IF(H28="Completed","Complete",IF(H28="Cancelled","Cancelled",IF(G28="","No due date",IF(Methodology!$B$4&gt;G28,"Overdue",IF(G28-Methodology!$B$4&lt;=Methodology!$B$5,"Due soon","On track"))))))</f>
        <v/>
      </c>
      <c r="M28" s="36"/>
      <c r="N28" s="37" t="str">
        <f>IF(B28="","",IFERROR(INDEX('Risk Register'!$O$6:$O$105,MATCH(B28,'Risk Register'!$A$6:$A$105,0)),""))</f>
        <v/>
      </c>
      <c r="O28" s="37" t="str">
        <f t="shared" si="0"/>
        <v/>
      </c>
      <c r="P28" s="24"/>
    </row>
    <row r="29" spans="1:16" x14ac:dyDescent="0.35">
      <c r="A29" s="35"/>
      <c r="B29" s="35"/>
      <c r="C29" s="44" t="str">
        <f>IF(B29="","",IFERROR(INDEX('Risk Register'!$B$6:$B$105,MATCH(B29,'Risk Register'!$A$6:$A$105,0)),"Unknown Risk ID"))</f>
        <v/>
      </c>
      <c r="D29" s="24"/>
      <c r="E29" s="35"/>
      <c r="F29" s="46"/>
      <c r="G29" s="46"/>
      <c r="H29" s="36"/>
      <c r="I29" s="47"/>
      <c r="J29" s="46"/>
      <c r="K29" s="37" t="str">
        <f>IF(OR(G29="",H29="Completed",H29="Cancelled"),"",MAX(0,Methodology!$B$4-G29))</f>
        <v/>
      </c>
      <c r="L29" s="37" t="str">
        <f>IF(A29="","",IF(H29="Completed","Complete",IF(H29="Cancelled","Cancelled",IF(G29="","No due date",IF(Methodology!$B$4&gt;G29,"Overdue",IF(G29-Methodology!$B$4&lt;=Methodology!$B$5,"Due soon","On track"))))))</f>
        <v/>
      </c>
      <c r="M29" s="36"/>
      <c r="N29" s="37" t="str">
        <f>IF(B29="","",IFERROR(INDEX('Risk Register'!$O$6:$O$105,MATCH(B29,'Risk Register'!$A$6:$A$105,0)),""))</f>
        <v/>
      </c>
      <c r="O29" s="37" t="str">
        <f t="shared" si="0"/>
        <v/>
      </c>
      <c r="P29" s="24"/>
    </row>
    <row r="30" spans="1:16" x14ac:dyDescent="0.35">
      <c r="A30" s="35"/>
      <c r="B30" s="35"/>
      <c r="C30" s="44" t="str">
        <f>IF(B30="","",IFERROR(INDEX('Risk Register'!$B$6:$B$105,MATCH(B30,'Risk Register'!$A$6:$A$105,0)),"Unknown Risk ID"))</f>
        <v/>
      </c>
      <c r="D30" s="24"/>
      <c r="E30" s="35"/>
      <c r="F30" s="46"/>
      <c r="G30" s="46"/>
      <c r="H30" s="36"/>
      <c r="I30" s="47"/>
      <c r="J30" s="46"/>
      <c r="K30" s="37" t="str">
        <f>IF(OR(G30="",H30="Completed",H30="Cancelled"),"",MAX(0,Methodology!$B$4-G30))</f>
        <v/>
      </c>
      <c r="L30" s="37" t="str">
        <f>IF(A30="","",IF(H30="Completed","Complete",IF(H30="Cancelled","Cancelled",IF(G30="","No due date",IF(Methodology!$B$4&gt;G30,"Overdue",IF(G30-Methodology!$B$4&lt;=Methodology!$B$5,"Due soon","On track"))))))</f>
        <v/>
      </c>
      <c r="M30" s="36"/>
      <c r="N30" s="37" t="str">
        <f>IF(B30="","",IFERROR(INDEX('Risk Register'!$O$6:$O$105,MATCH(B30,'Risk Register'!$A$6:$A$105,0)),""))</f>
        <v/>
      </c>
      <c r="O30" s="37" t="str">
        <f t="shared" si="0"/>
        <v/>
      </c>
      <c r="P30" s="24"/>
    </row>
    <row r="31" spans="1:16" x14ac:dyDescent="0.35">
      <c r="A31" s="35"/>
      <c r="B31" s="35"/>
      <c r="C31" s="44" t="str">
        <f>IF(B31="","",IFERROR(INDEX('Risk Register'!$B$6:$B$105,MATCH(B31,'Risk Register'!$A$6:$A$105,0)),"Unknown Risk ID"))</f>
        <v/>
      </c>
      <c r="D31" s="24"/>
      <c r="E31" s="35"/>
      <c r="F31" s="46"/>
      <c r="G31" s="46"/>
      <c r="H31" s="36"/>
      <c r="I31" s="47"/>
      <c r="J31" s="46"/>
      <c r="K31" s="37" t="str">
        <f>IF(OR(G31="",H31="Completed",H31="Cancelled"),"",MAX(0,Methodology!$B$4-G31))</f>
        <v/>
      </c>
      <c r="L31" s="37" t="str">
        <f>IF(A31="","",IF(H31="Completed","Complete",IF(H31="Cancelled","Cancelled",IF(G31="","No due date",IF(Methodology!$B$4&gt;G31,"Overdue",IF(G31-Methodology!$B$4&lt;=Methodology!$B$5,"Due soon","On track"))))))</f>
        <v/>
      </c>
      <c r="M31" s="36"/>
      <c r="N31" s="37" t="str">
        <f>IF(B31="","",IFERROR(INDEX('Risk Register'!$O$6:$O$105,MATCH(B31,'Risk Register'!$A$6:$A$105,0)),""))</f>
        <v/>
      </c>
      <c r="O31" s="37" t="str">
        <f t="shared" si="0"/>
        <v/>
      </c>
      <c r="P31" s="24"/>
    </row>
    <row r="32" spans="1:16" x14ac:dyDescent="0.35">
      <c r="A32" s="35"/>
      <c r="B32" s="35"/>
      <c r="C32" s="44" t="str">
        <f>IF(B32="","",IFERROR(INDEX('Risk Register'!$B$6:$B$105,MATCH(B32,'Risk Register'!$A$6:$A$105,0)),"Unknown Risk ID"))</f>
        <v/>
      </c>
      <c r="D32" s="24"/>
      <c r="E32" s="35"/>
      <c r="F32" s="46"/>
      <c r="G32" s="46"/>
      <c r="H32" s="36"/>
      <c r="I32" s="47"/>
      <c r="J32" s="46"/>
      <c r="K32" s="37" t="str">
        <f>IF(OR(G32="",H32="Completed",H32="Cancelled"),"",MAX(0,Methodology!$B$4-G32))</f>
        <v/>
      </c>
      <c r="L32" s="37" t="str">
        <f>IF(A32="","",IF(H32="Completed","Complete",IF(H32="Cancelled","Cancelled",IF(G32="","No due date",IF(Methodology!$B$4&gt;G32,"Overdue",IF(G32-Methodology!$B$4&lt;=Methodology!$B$5,"Due soon","On track"))))))</f>
        <v/>
      </c>
      <c r="M32" s="36"/>
      <c r="N32" s="37" t="str">
        <f>IF(B32="","",IFERROR(INDEX('Risk Register'!$O$6:$O$105,MATCH(B32,'Risk Register'!$A$6:$A$105,0)),""))</f>
        <v/>
      </c>
      <c r="O32" s="37" t="str">
        <f t="shared" si="0"/>
        <v/>
      </c>
      <c r="P32" s="24"/>
    </row>
    <row r="33" spans="1:16" x14ac:dyDescent="0.35">
      <c r="A33" s="35"/>
      <c r="B33" s="35"/>
      <c r="C33" s="44" t="str">
        <f>IF(B33="","",IFERROR(INDEX('Risk Register'!$B$6:$B$105,MATCH(B33,'Risk Register'!$A$6:$A$105,0)),"Unknown Risk ID"))</f>
        <v/>
      </c>
      <c r="D33" s="24"/>
      <c r="E33" s="35"/>
      <c r="F33" s="46"/>
      <c r="G33" s="46"/>
      <c r="H33" s="36"/>
      <c r="I33" s="47"/>
      <c r="J33" s="46"/>
      <c r="K33" s="37" t="str">
        <f>IF(OR(G33="",H33="Completed",H33="Cancelled"),"",MAX(0,Methodology!$B$4-G33))</f>
        <v/>
      </c>
      <c r="L33" s="37" t="str">
        <f>IF(A33="","",IF(H33="Completed","Complete",IF(H33="Cancelled","Cancelled",IF(G33="","No due date",IF(Methodology!$B$4&gt;G33,"Overdue",IF(G33-Methodology!$B$4&lt;=Methodology!$B$5,"Due soon","On track"))))))</f>
        <v/>
      </c>
      <c r="M33" s="36"/>
      <c r="N33" s="37" t="str">
        <f>IF(B33="","",IFERROR(INDEX('Risk Register'!$O$6:$O$105,MATCH(B33,'Risk Register'!$A$6:$A$105,0)),""))</f>
        <v/>
      </c>
      <c r="O33" s="37" t="str">
        <f t="shared" si="0"/>
        <v/>
      </c>
      <c r="P33" s="24"/>
    </row>
    <row r="34" spans="1:16" x14ac:dyDescent="0.35">
      <c r="A34" s="35"/>
      <c r="B34" s="35"/>
      <c r="C34" s="44" t="str">
        <f>IF(B34="","",IFERROR(INDEX('Risk Register'!$B$6:$B$105,MATCH(B34,'Risk Register'!$A$6:$A$105,0)),"Unknown Risk ID"))</f>
        <v/>
      </c>
      <c r="D34" s="24"/>
      <c r="E34" s="35"/>
      <c r="F34" s="46"/>
      <c r="G34" s="46"/>
      <c r="H34" s="36"/>
      <c r="I34" s="47"/>
      <c r="J34" s="46"/>
      <c r="K34" s="37" t="str">
        <f>IF(OR(G34="",H34="Completed",H34="Cancelled"),"",MAX(0,Methodology!$B$4-G34))</f>
        <v/>
      </c>
      <c r="L34" s="37" t="str">
        <f>IF(A34="","",IF(H34="Completed","Complete",IF(H34="Cancelled","Cancelled",IF(G34="","No due date",IF(Methodology!$B$4&gt;G34,"Overdue",IF(G34-Methodology!$B$4&lt;=Methodology!$B$5,"Due soon","On track"))))))</f>
        <v/>
      </c>
      <c r="M34" s="36"/>
      <c r="N34" s="37" t="str">
        <f>IF(B34="","",IFERROR(INDEX('Risk Register'!$O$6:$O$105,MATCH(B34,'Risk Register'!$A$6:$A$105,0)),""))</f>
        <v/>
      </c>
      <c r="O34" s="37" t="str">
        <f t="shared" si="0"/>
        <v/>
      </c>
      <c r="P34" s="24"/>
    </row>
    <row r="35" spans="1:16" x14ac:dyDescent="0.35">
      <c r="A35" s="35"/>
      <c r="B35" s="35"/>
      <c r="C35" s="44" t="str">
        <f>IF(B35="","",IFERROR(INDEX('Risk Register'!$B$6:$B$105,MATCH(B35,'Risk Register'!$A$6:$A$105,0)),"Unknown Risk ID"))</f>
        <v/>
      </c>
      <c r="D35" s="24"/>
      <c r="E35" s="35"/>
      <c r="F35" s="46"/>
      <c r="G35" s="46"/>
      <c r="H35" s="36"/>
      <c r="I35" s="47"/>
      <c r="J35" s="46"/>
      <c r="K35" s="37" t="str">
        <f>IF(OR(G35="",H35="Completed",H35="Cancelled"),"",MAX(0,Methodology!$B$4-G35))</f>
        <v/>
      </c>
      <c r="L35" s="37" t="str">
        <f>IF(A35="","",IF(H35="Completed","Complete",IF(H35="Cancelled","Cancelled",IF(G35="","No due date",IF(Methodology!$B$4&gt;G35,"Overdue",IF(G35-Methodology!$B$4&lt;=Methodology!$B$5,"Due soon","On track"))))))</f>
        <v/>
      </c>
      <c r="M35" s="36"/>
      <c r="N35" s="37" t="str">
        <f>IF(B35="","",IFERROR(INDEX('Risk Register'!$O$6:$O$105,MATCH(B35,'Risk Register'!$A$6:$A$105,0)),""))</f>
        <v/>
      </c>
      <c r="O35" s="37" t="str">
        <f t="shared" si="0"/>
        <v/>
      </c>
      <c r="P35" s="24"/>
    </row>
    <row r="36" spans="1:16" x14ac:dyDescent="0.35">
      <c r="A36" s="35"/>
      <c r="B36" s="35"/>
      <c r="C36" s="44" t="str">
        <f>IF(B36="","",IFERROR(INDEX('Risk Register'!$B$6:$B$105,MATCH(B36,'Risk Register'!$A$6:$A$105,0)),"Unknown Risk ID"))</f>
        <v/>
      </c>
      <c r="D36" s="24"/>
      <c r="E36" s="35"/>
      <c r="F36" s="46"/>
      <c r="G36" s="46"/>
      <c r="H36" s="36"/>
      <c r="I36" s="47"/>
      <c r="J36" s="46"/>
      <c r="K36" s="37" t="str">
        <f>IF(OR(G36="",H36="Completed",H36="Cancelled"),"",MAX(0,Methodology!$B$4-G36))</f>
        <v/>
      </c>
      <c r="L36" s="37" t="str">
        <f>IF(A36="","",IF(H36="Completed","Complete",IF(H36="Cancelled","Cancelled",IF(G36="","No due date",IF(Methodology!$B$4&gt;G36,"Overdue",IF(G36-Methodology!$B$4&lt;=Methodology!$B$5,"Due soon","On track"))))))</f>
        <v/>
      </c>
      <c r="M36" s="36"/>
      <c r="N36" s="37" t="str">
        <f>IF(B36="","",IFERROR(INDEX('Risk Register'!$O$6:$O$105,MATCH(B36,'Risk Register'!$A$6:$A$105,0)),""))</f>
        <v/>
      </c>
      <c r="O36" s="37" t="str">
        <f t="shared" si="0"/>
        <v/>
      </c>
      <c r="P36" s="24"/>
    </row>
    <row r="37" spans="1:16" x14ac:dyDescent="0.35">
      <c r="A37" s="35"/>
      <c r="B37" s="35"/>
      <c r="C37" s="44" t="str">
        <f>IF(B37="","",IFERROR(INDEX('Risk Register'!$B$6:$B$105,MATCH(B37,'Risk Register'!$A$6:$A$105,0)),"Unknown Risk ID"))</f>
        <v/>
      </c>
      <c r="D37" s="24"/>
      <c r="E37" s="35"/>
      <c r="F37" s="46"/>
      <c r="G37" s="46"/>
      <c r="H37" s="36"/>
      <c r="I37" s="47"/>
      <c r="J37" s="46"/>
      <c r="K37" s="37" t="str">
        <f>IF(OR(G37="",H37="Completed",H37="Cancelled"),"",MAX(0,Methodology!$B$4-G37))</f>
        <v/>
      </c>
      <c r="L37" s="37" t="str">
        <f>IF(A37="","",IF(H37="Completed","Complete",IF(H37="Cancelled","Cancelled",IF(G37="","No due date",IF(Methodology!$B$4&gt;G37,"Overdue",IF(G37-Methodology!$B$4&lt;=Methodology!$B$5,"Due soon","On track"))))))</f>
        <v/>
      </c>
      <c r="M37" s="36"/>
      <c r="N37" s="37" t="str">
        <f>IF(B37="","",IFERROR(INDEX('Risk Register'!$O$6:$O$105,MATCH(B37,'Risk Register'!$A$6:$A$105,0)),""))</f>
        <v/>
      </c>
      <c r="O37" s="37" t="str">
        <f t="shared" si="0"/>
        <v/>
      </c>
      <c r="P37" s="24"/>
    </row>
    <row r="38" spans="1:16" x14ac:dyDescent="0.35">
      <c r="A38" s="35"/>
      <c r="B38" s="35"/>
      <c r="C38" s="44" t="str">
        <f>IF(B38="","",IFERROR(INDEX('Risk Register'!$B$6:$B$105,MATCH(B38,'Risk Register'!$A$6:$A$105,0)),"Unknown Risk ID"))</f>
        <v/>
      </c>
      <c r="D38" s="24"/>
      <c r="E38" s="35"/>
      <c r="F38" s="46"/>
      <c r="G38" s="46"/>
      <c r="H38" s="36"/>
      <c r="I38" s="47"/>
      <c r="J38" s="46"/>
      <c r="K38" s="37" t="str">
        <f>IF(OR(G38="",H38="Completed",H38="Cancelled"),"",MAX(0,Methodology!$B$4-G38))</f>
        <v/>
      </c>
      <c r="L38" s="37" t="str">
        <f>IF(A38="","",IF(H38="Completed","Complete",IF(H38="Cancelled","Cancelled",IF(G38="","No due date",IF(Methodology!$B$4&gt;G38,"Overdue",IF(G38-Methodology!$B$4&lt;=Methodology!$B$5,"Due soon","On track"))))))</f>
        <v/>
      </c>
      <c r="M38" s="36"/>
      <c r="N38" s="37" t="str">
        <f>IF(B38="","",IFERROR(INDEX('Risk Register'!$O$6:$O$105,MATCH(B38,'Risk Register'!$A$6:$A$105,0)),""))</f>
        <v/>
      </c>
      <c r="O38" s="37" t="str">
        <f t="shared" ref="O38:O69" si="1">IF(OR(M38="",N38=""),"",N38-M38)</f>
        <v/>
      </c>
      <c r="P38" s="24"/>
    </row>
    <row r="39" spans="1:16" x14ac:dyDescent="0.35">
      <c r="A39" s="35"/>
      <c r="B39" s="35"/>
      <c r="C39" s="44" t="str">
        <f>IF(B39="","",IFERROR(INDEX('Risk Register'!$B$6:$B$105,MATCH(B39,'Risk Register'!$A$6:$A$105,0)),"Unknown Risk ID"))</f>
        <v/>
      </c>
      <c r="D39" s="24"/>
      <c r="E39" s="35"/>
      <c r="F39" s="46"/>
      <c r="G39" s="46"/>
      <c r="H39" s="36"/>
      <c r="I39" s="47"/>
      <c r="J39" s="46"/>
      <c r="K39" s="37" t="str">
        <f>IF(OR(G39="",H39="Completed",H39="Cancelled"),"",MAX(0,Methodology!$B$4-G39))</f>
        <v/>
      </c>
      <c r="L39" s="37" t="str">
        <f>IF(A39="","",IF(H39="Completed","Complete",IF(H39="Cancelled","Cancelled",IF(G39="","No due date",IF(Methodology!$B$4&gt;G39,"Overdue",IF(G39-Methodology!$B$4&lt;=Methodology!$B$5,"Due soon","On track"))))))</f>
        <v/>
      </c>
      <c r="M39" s="36"/>
      <c r="N39" s="37" t="str">
        <f>IF(B39="","",IFERROR(INDEX('Risk Register'!$O$6:$O$105,MATCH(B39,'Risk Register'!$A$6:$A$105,0)),""))</f>
        <v/>
      </c>
      <c r="O39" s="37" t="str">
        <f t="shared" si="1"/>
        <v/>
      </c>
      <c r="P39" s="24"/>
    </row>
    <row r="40" spans="1:16" x14ac:dyDescent="0.35">
      <c r="A40" s="35"/>
      <c r="B40" s="35"/>
      <c r="C40" s="44" t="str">
        <f>IF(B40="","",IFERROR(INDEX('Risk Register'!$B$6:$B$105,MATCH(B40,'Risk Register'!$A$6:$A$105,0)),"Unknown Risk ID"))</f>
        <v/>
      </c>
      <c r="D40" s="24"/>
      <c r="E40" s="35"/>
      <c r="F40" s="46"/>
      <c r="G40" s="46"/>
      <c r="H40" s="36"/>
      <c r="I40" s="47"/>
      <c r="J40" s="46"/>
      <c r="K40" s="37" t="str">
        <f>IF(OR(G40="",H40="Completed",H40="Cancelled"),"",MAX(0,Methodology!$B$4-G40))</f>
        <v/>
      </c>
      <c r="L40" s="37" t="str">
        <f>IF(A40="","",IF(H40="Completed","Complete",IF(H40="Cancelled","Cancelled",IF(G40="","No due date",IF(Methodology!$B$4&gt;G40,"Overdue",IF(G40-Methodology!$B$4&lt;=Methodology!$B$5,"Due soon","On track"))))))</f>
        <v/>
      </c>
      <c r="M40" s="36"/>
      <c r="N40" s="37" t="str">
        <f>IF(B40="","",IFERROR(INDEX('Risk Register'!$O$6:$O$105,MATCH(B40,'Risk Register'!$A$6:$A$105,0)),""))</f>
        <v/>
      </c>
      <c r="O40" s="37" t="str">
        <f t="shared" si="1"/>
        <v/>
      </c>
      <c r="P40" s="24"/>
    </row>
    <row r="41" spans="1:16" x14ac:dyDescent="0.35">
      <c r="A41" s="35"/>
      <c r="B41" s="35"/>
      <c r="C41" s="44" t="str">
        <f>IF(B41="","",IFERROR(INDEX('Risk Register'!$B$6:$B$105,MATCH(B41,'Risk Register'!$A$6:$A$105,0)),"Unknown Risk ID"))</f>
        <v/>
      </c>
      <c r="D41" s="24"/>
      <c r="E41" s="35"/>
      <c r="F41" s="46"/>
      <c r="G41" s="46"/>
      <c r="H41" s="36"/>
      <c r="I41" s="47"/>
      <c r="J41" s="46"/>
      <c r="K41" s="37" t="str">
        <f>IF(OR(G41="",H41="Completed",H41="Cancelled"),"",MAX(0,Methodology!$B$4-G41))</f>
        <v/>
      </c>
      <c r="L41" s="37" t="str">
        <f>IF(A41="","",IF(H41="Completed","Complete",IF(H41="Cancelled","Cancelled",IF(G41="","No due date",IF(Methodology!$B$4&gt;G41,"Overdue",IF(G41-Methodology!$B$4&lt;=Methodology!$B$5,"Due soon","On track"))))))</f>
        <v/>
      </c>
      <c r="M41" s="36"/>
      <c r="N41" s="37" t="str">
        <f>IF(B41="","",IFERROR(INDEX('Risk Register'!$O$6:$O$105,MATCH(B41,'Risk Register'!$A$6:$A$105,0)),""))</f>
        <v/>
      </c>
      <c r="O41" s="37" t="str">
        <f t="shared" si="1"/>
        <v/>
      </c>
      <c r="P41" s="24"/>
    </row>
    <row r="42" spans="1:16" x14ac:dyDescent="0.35">
      <c r="A42" s="35"/>
      <c r="B42" s="35"/>
      <c r="C42" s="44" t="str">
        <f>IF(B42="","",IFERROR(INDEX('Risk Register'!$B$6:$B$105,MATCH(B42,'Risk Register'!$A$6:$A$105,0)),"Unknown Risk ID"))</f>
        <v/>
      </c>
      <c r="D42" s="24"/>
      <c r="E42" s="35"/>
      <c r="F42" s="46"/>
      <c r="G42" s="46"/>
      <c r="H42" s="36"/>
      <c r="I42" s="47"/>
      <c r="J42" s="46"/>
      <c r="K42" s="37" t="str">
        <f>IF(OR(G42="",H42="Completed",H42="Cancelled"),"",MAX(0,Methodology!$B$4-G42))</f>
        <v/>
      </c>
      <c r="L42" s="37" t="str">
        <f>IF(A42="","",IF(H42="Completed","Complete",IF(H42="Cancelled","Cancelled",IF(G42="","No due date",IF(Methodology!$B$4&gt;G42,"Overdue",IF(G42-Methodology!$B$4&lt;=Methodology!$B$5,"Due soon","On track"))))))</f>
        <v/>
      </c>
      <c r="M42" s="36"/>
      <c r="N42" s="37" t="str">
        <f>IF(B42="","",IFERROR(INDEX('Risk Register'!$O$6:$O$105,MATCH(B42,'Risk Register'!$A$6:$A$105,0)),""))</f>
        <v/>
      </c>
      <c r="O42" s="37" t="str">
        <f t="shared" si="1"/>
        <v/>
      </c>
      <c r="P42" s="24"/>
    </row>
    <row r="43" spans="1:16" x14ac:dyDescent="0.35">
      <c r="A43" s="35"/>
      <c r="B43" s="35"/>
      <c r="C43" s="44" t="str">
        <f>IF(B43="","",IFERROR(INDEX('Risk Register'!$B$6:$B$105,MATCH(B43,'Risk Register'!$A$6:$A$105,0)),"Unknown Risk ID"))</f>
        <v/>
      </c>
      <c r="D43" s="24"/>
      <c r="E43" s="35"/>
      <c r="F43" s="46"/>
      <c r="G43" s="46"/>
      <c r="H43" s="36"/>
      <c r="I43" s="47"/>
      <c r="J43" s="46"/>
      <c r="K43" s="37" t="str">
        <f>IF(OR(G43="",H43="Completed",H43="Cancelled"),"",MAX(0,Methodology!$B$4-G43))</f>
        <v/>
      </c>
      <c r="L43" s="37" t="str">
        <f>IF(A43="","",IF(H43="Completed","Complete",IF(H43="Cancelled","Cancelled",IF(G43="","No due date",IF(Methodology!$B$4&gt;G43,"Overdue",IF(G43-Methodology!$B$4&lt;=Methodology!$B$5,"Due soon","On track"))))))</f>
        <v/>
      </c>
      <c r="M43" s="36"/>
      <c r="N43" s="37" t="str">
        <f>IF(B43="","",IFERROR(INDEX('Risk Register'!$O$6:$O$105,MATCH(B43,'Risk Register'!$A$6:$A$105,0)),""))</f>
        <v/>
      </c>
      <c r="O43" s="37" t="str">
        <f t="shared" si="1"/>
        <v/>
      </c>
      <c r="P43" s="24"/>
    </row>
    <row r="44" spans="1:16" x14ac:dyDescent="0.35">
      <c r="A44" s="35"/>
      <c r="B44" s="35"/>
      <c r="C44" s="44" t="str">
        <f>IF(B44="","",IFERROR(INDEX('Risk Register'!$B$6:$B$105,MATCH(B44,'Risk Register'!$A$6:$A$105,0)),"Unknown Risk ID"))</f>
        <v/>
      </c>
      <c r="D44" s="24"/>
      <c r="E44" s="35"/>
      <c r="F44" s="46"/>
      <c r="G44" s="46"/>
      <c r="H44" s="36"/>
      <c r="I44" s="47"/>
      <c r="J44" s="46"/>
      <c r="K44" s="37" t="str">
        <f>IF(OR(G44="",H44="Completed",H44="Cancelled"),"",MAX(0,Methodology!$B$4-G44))</f>
        <v/>
      </c>
      <c r="L44" s="37" t="str">
        <f>IF(A44="","",IF(H44="Completed","Complete",IF(H44="Cancelled","Cancelled",IF(G44="","No due date",IF(Methodology!$B$4&gt;G44,"Overdue",IF(G44-Methodology!$B$4&lt;=Methodology!$B$5,"Due soon","On track"))))))</f>
        <v/>
      </c>
      <c r="M44" s="36"/>
      <c r="N44" s="37" t="str">
        <f>IF(B44="","",IFERROR(INDEX('Risk Register'!$O$6:$O$105,MATCH(B44,'Risk Register'!$A$6:$A$105,0)),""))</f>
        <v/>
      </c>
      <c r="O44" s="37" t="str">
        <f t="shared" si="1"/>
        <v/>
      </c>
      <c r="P44" s="24"/>
    </row>
    <row r="45" spans="1:16" x14ac:dyDescent="0.35">
      <c r="A45" s="35"/>
      <c r="B45" s="35"/>
      <c r="C45" s="44" t="str">
        <f>IF(B45="","",IFERROR(INDEX('Risk Register'!$B$6:$B$105,MATCH(B45,'Risk Register'!$A$6:$A$105,0)),"Unknown Risk ID"))</f>
        <v/>
      </c>
      <c r="D45" s="24"/>
      <c r="E45" s="35"/>
      <c r="F45" s="46"/>
      <c r="G45" s="46"/>
      <c r="H45" s="36"/>
      <c r="I45" s="47"/>
      <c r="J45" s="46"/>
      <c r="K45" s="37" t="str">
        <f>IF(OR(G45="",H45="Completed",H45="Cancelled"),"",MAX(0,Methodology!$B$4-G45))</f>
        <v/>
      </c>
      <c r="L45" s="37" t="str">
        <f>IF(A45="","",IF(H45="Completed","Complete",IF(H45="Cancelled","Cancelled",IF(G45="","No due date",IF(Methodology!$B$4&gt;G45,"Overdue",IF(G45-Methodology!$B$4&lt;=Methodology!$B$5,"Due soon","On track"))))))</f>
        <v/>
      </c>
      <c r="M45" s="36"/>
      <c r="N45" s="37" t="str">
        <f>IF(B45="","",IFERROR(INDEX('Risk Register'!$O$6:$O$105,MATCH(B45,'Risk Register'!$A$6:$A$105,0)),""))</f>
        <v/>
      </c>
      <c r="O45" s="37" t="str">
        <f t="shared" si="1"/>
        <v/>
      </c>
      <c r="P45" s="24"/>
    </row>
    <row r="46" spans="1:16" x14ac:dyDescent="0.35">
      <c r="A46" s="35"/>
      <c r="B46" s="35"/>
      <c r="C46" s="44" t="str">
        <f>IF(B46="","",IFERROR(INDEX('Risk Register'!$B$6:$B$105,MATCH(B46,'Risk Register'!$A$6:$A$105,0)),"Unknown Risk ID"))</f>
        <v/>
      </c>
      <c r="D46" s="24"/>
      <c r="E46" s="35"/>
      <c r="F46" s="46"/>
      <c r="G46" s="46"/>
      <c r="H46" s="36"/>
      <c r="I46" s="47"/>
      <c r="J46" s="46"/>
      <c r="K46" s="37" t="str">
        <f>IF(OR(G46="",H46="Completed",H46="Cancelled"),"",MAX(0,Methodology!$B$4-G46))</f>
        <v/>
      </c>
      <c r="L46" s="37" t="str">
        <f>IF(A46="","",IF(H46="Completed","Complete",IF(H46="Cancelled","Cancelled",IF(G46="","No due date",IF(Methodology!$B$4&gt;G46,"Overdue",IF(G46-Methodology!$B$4&lt;=Methodology!$B$5,"Due soon","On track"))))))</f>
        <v/>
      </c>
      <c r="M46" s="36"/>
      <c r="N46" s="37" t="str">
        <f>IF(B46="","",IFERROR(INDEX('Risk Register'!$O$6:$O$105,MATCH(B46,'Risk Register'!$A$6:$A$105,0)),""))</f>
        <v/>
      </c>
      <c r="O46" s="37" t="str">
        <f t="shared" si="1"/>
        <v/>
      </c>
      <c r="P46" s="24"/>
    </row>
    <row r="47" spans="1:16" x14ac:dyDescent="0.35">
      <c r="A47" s="35"/>
      <c r="B47" s="35"/>
      <c r="C47" s="44" t="str">
        <f>IF(B47="","",IFERROR(INDEX('Risk Register'!$B$6:$B$105,MATCH(B47,'Risk Register'!$A$6:$A$105,0)),"Unknown Risk ID"))</f>
        <v/>
      </c>
      <c r="D47" s="24"/>
      <c r="E47" s="35"/>
      <c r="F47" s="46"/>
      <c r="G47" s="46"/>
      <c r="H47" s="36"/>
      <c r="I47" s="47"/>
      <c r="J47" s="46"/>
      <c r="K47" s="37" t="str">
        <f>IF(OR(G47="",H47="Completed",H47="Cancelled"),"",MAX(0,Methodology!$B$4-G47))</f>
        <v/>
      </c>
      <c r="L47" s="37" t="str">
        <f>IF(A47="","",IF(H47="Completed","Complete",IF(H47="Cancelled","Cancelled",IF(G47="","No due date",IF(Methodology!$B$4&gt;G47,"Overdue",IF(G47-Methodology!$B$4&lt;=Methodology!$B$5,"Due soon","On track"))))))</f>
        <v/>
      </c>
      <c r="M47" s="36"/>
      <c r="N47" s="37" t="str">
        <f>IF(B47="","",IFERROR(INDEX('Risk Register'!$O$6:$O$105,MATCH(B47,'Risk Register'!$A$6:$A$105,0)),""))</f>
        <v/>
      </c>
      <c r="O47" s="37" t="str">
        <f t="shared" si="1"/>
        <v/>
      </c>
      <c r="P47" s="24"/>
    </row>
    <row r="48" spans="1:16" x14ac:dyDescent="0.35">
      <c r="A48" s="35"/>
      <c r="B48" s="35"/>
      <c r="C48" s="44" t="str">
        <f>IF(B48="","",IFERROR(INDEX('Risk Register'!$B$6:$B$105,MATCH(B48,'Risk Register'!$A$6:$A$105,0)),"Unknown Risk ID"))</f>
        <v/>
      </c>
      <c r="D48" s="24"/>
      <c r="E48" s="35"/>
      <c r="F48" s="46"/>
      <c r="G48" s="46"/>
      <c r="H48" s="36"/>
      <c r="I48" s="47"/>
      <c r="J48" s="46"/>
      <c r="K48" s="37" t="str">
        <f>IF(OR(G48="",H48="Completed",H48="Cancelled"),"",MAX(0,Methodology!$B$4-G48))</f>
        <v/>
      </c>
      <c r="L48" s="37" t="str">
        <f>IF(A48="","",IF(H48="Completed","Complete",IF(H48="Cancelled","Cancelled",IF(G48="","No due date",IF(Methodology!$B$4&gt;G48,"Overdue",IF(G48-Methodology!$B$4&lt;=Methodology!$B$5,"Due soon","On track"))))))</f>
        <v/>
      </c>
      <c r="M48" s="36"/>
      <c r="N48" s="37" t="str">
        <f>IF(B48="","",IFERROR(INDEX('Risk Register'!$O$6:$O$105,MATCH(B48,'Risk Register'!$A$6:$A$105,0)),""))</f>
        <v/>
      </c>
      <c r="O48" s="37" t="str">
        <f t="shared" si="1"/>
        <v/>
      </c>
      <c r="P48" s="24"/>
    </row>
    <row r="49" spans="1:16" x14ac:dyDescent="0.35">
      <c r="A49" s="35"/>
      <c r="B49" s="35"/>
      <c r="C49" s="44" t="str">
        <f>IF(B49="","",IFERROR(INDEX('Risk Register'!$B$6:$B$105,MATCH(B49,'Risk Register'!$A$6:$A$105,0)),"Unknown Risk ID"))</f>
        <v/>
      </c>
      <c r="D49" s="24"/>
      <c r="E49" s="35"/>
      <c r="F49" s="46"/>
      <c r="G49" s="46"/>
      <c r="H49" s="36"/>
      <c r="I49" s="47"/>
      <c r="J49" s="46"/>
      <c r="K49" s="37" t="str">
        <f>IF(OR(G49="",H49="Completed",H49="Cancelled"),"",MAX(0,Methodology!$B$4-G49))</f>
        <v/>
      </c>
      <c r="L49" s="37" t="str">
        <f>IF(A49="","",IF(H49="Completed","Complete",IF(H49="Cancelled","Cancelled",IF(G49="","No due date",IF(Methodology!$B$4&gt;G49,"Overdue",IF(G49-Methodology!$B$4&lt;=Methodology!$B$5,"Due soon","On track"))))))</f>
        <v/>
      </c>
      <c r="M49" s="36"/>
      <c r="N49" s="37" t="str">
        <f>IF(B49="","",IFERROR(INDEX('Risk Register'!$O$6:$O$105,MATCH(B49,'Risk Register'!$A$6:$A$105,0)),""))</f>
        <v/>
      </c>
      <c r="O49" s="37" t="str">
        <f t="shared" si="1"/>
        <v/>
      </c>
      <c r="P49" s="24"/>
    </row>
    <row r="50" spans="1:16" x14ac:dyDescent="0.35">
      <c r="A50" s="35"/>
      <c r="B50" s="35"/>
      <c r="C50" s="44" t="str">
        <f>IF(B50="","",IFERROR(INDEX('Risk Register'!$B$6:$B$105,MATCH(B50,'Risk Register'!$A$6:$A$105,0)),"Unknown Risk ID"))</f>
        <v/>
      </c>
      <c r="D50" s="24"/>
      <c r="E50" s="35"/>
      <c r="F50" s="46"/>
      <c r="G50" s="46"/>
      <c r="H50" s="36"/>
      <c r="I50" s="47"/>
      <c r="J50" s="46"/>
      <c r="K50" s="37" t="str">
        <f>IF(OR(G50="",H50="Completed",H50="Cancelled"),"",MAX(0,Methodology!$B$4-G50))</f>
        <v/>
      </c>
      <c r="L50" s="37" t="str">
        <f>IF(A50="","",IF(H50="Completed","Complete",IF(H50="Cancelled","Cancelled",IF(G50="","No due date",IF(Methodology!$B$4&gt;G50,"Overdue",IF(G50-Methodology!$B$4&lt;=Methodology!$B$5,"Due soon","On track"))))))</f>
        <v/>
      </c>
      <c r="M50" s="36"/>
      <c r="N50" s="37" t="str">
        <f>IF(B50="","",IFERROR(INDEX('Risk Register'!$O$6:$O$105,MATCH(B50,'Risk Register'!$A$6:$A$105,0)),""))</f>
        <v/>
      </c>
      <c r="O50" s="37" t="str">
        <f t="shared" si="1"/>
        <v/>
      </c>
      <c r="P50" s="24"/>
    </row>
    <row r="51" spans="1:16" x14ac:dyDescent="0.35">
      <c r="A51" s="35"/>
      <c r="B51" s="35"/>
      <c r="C51" s="44" t="str">
        <f>IF(B51="","",IFERROR(INDEX('Risk Register'!$B$6:$B$105,MATCH(B51,'Risk Register'!$A$6:$A$105,0)),"Unknown Risk ID"))</f>
        <v/>
      </c>
      <c r="D51" s="24"/>
      <c r="E51" s="35"/>
      <c r="F51" s="46"/>
      <c r="G51" s="46"/>
      <c r="H51" s="36"/>
      <c r="I51" s="47"/>
      <c r="J51" s="46"/>
      <c r="K51" s="37" t="str">
        <f>IF(OR(G51="",H51="Completed",H51="Cancelled"),"",MAX(0,Methodology!$B$4-G51))</f>
        <v/>
      </c>
      <c r="L51" s="37" t="str">
        <f>IF(A51="","",IF(H51="Completed","Complete",IF(H51="Cancelled","Cancelled",IF(G51="","No due date",IF(Methodology!$B$4&gt;G51,"Overdue",IF(G51-Methodology!$B$4&lt;=Methodology!$B$5,"Due soon","On track"))))))</f>
        <v/>
      </c>
      <c r="M51" s="36"/>
      <c r="N51" s="37" t="str">
        <f>IF(B51="","",IFERROR(INDEX('Risk Register'!$O$6:$O$105,MATCH(B51,'Risk Register'!$A$6:$A$105,0)),""))</f>
        <v/>
      </c>
      <c r="O51" s="37" t="str">
        <f t="shared" si="1"/>
        <v/>
      </c>
      <c r="P51" s="24"/>
    </row>
    <row r="52" spans="1:16" x14ac:dyDescent="0.35">
      <c r="A52" s="35"/>
      <c r="B52" s="35"/>
      <c r="C52" s="44" t="str">
        <f>IF(B52="","",IFERROR(INDEX('Risk Register'!$B$6:$B$105,MATCH(B52,'Risk Register'!$A$6:$A$105,0)),"Unknown Risk ID"))</f>
        <v/>
      </c>
      <c r="D52" s="24"/>
      <c r="E52" s="35"/>
      <c r="F52" s="46"/>
      <c r="G52" s="46"/>
      <c r="H52" s="36"/>
      <c r="I52" s="47"/>
      <c r="J52" s="46"/>
      <c r="K52" s="37" t="str">
        <f>IF(OR(G52="",H52="Completed",H52="Cancelled"),"",MAX(0,Methodology!$B$4-G52))</f>
        <v/>
      </c>
      <c r="L52" s="37" t="str">
        <f>IF(A52="","",IF(H52="Completed","Complete",IF(H52="Cancelled","Cancelled",IF(G52="","No due date",IF(Methodology!$B$4&gt;G52,"Overdue",IF(G52-Methodology!$B$4&lt;=Methodology!$B$5,"Due soon","On track"))))))</f>
        <v/>
      </c>
      <c r="M52" s="36"/>
      <c r="N52" s="37" t="str">
        <f>IF(B52="","",IFERROR(INDEX('Risk Register'!$O$6:$O$105,MATCH(B52,'Risk Register'!$A$6:$A$105,0)),""))</f>
        <v/>
      </c>
      <c r="O52" s="37" t="str">
        <f t="shared" si="1"/>
        <v/>
      </c>
      <c r="P52" s="24"/>
    </row>
    <row r="53" spans="1:16" x14ac:dyDescent="0.35">
      <c r="A53" s="35"/>
      <c r="B53" s="35"/>
      <c r="C53" s="44" t="str">
        <f>IF(B53="","",IFERROR(INDEX('Risk Register'!$B$6:$B$105,MATCH(B53,'Risk Register'!$A$6:$A$105,0)),"Unknown Risk ID"))</f>
        <v/>
      </c>
      <c r="D53" s="24"/>
      <c r="E53" s="35"/>
      <c r="F53" s="46"/>
      <c r="G53" s="46"/>
      <c r="H53" s="36"/>
      <c r="I53" s="47"/>
      <c r="J53" s="46"/>
      <c r="K53" s="37" t="str">
        <f>IF(OR(G53="",H53="Completed",H53="Cancelled"),"",MAX(0,Methodology!$B$4-G53))</f>
        <v/>
      </c>
      <c r="L53" s="37" t="str">
        <f>IF(A53="","",IF(H53="Completed","Complete",IF(H53="Cancelled","Cancelled",IF(G53="","No due date",IF(Methodology!$B$4&gt;G53,"Overdue",IF(G53-Methodology!$B$4&lt;=Methodology!$B$5,"Due soon","On track"))))))</f>
        <v/>
      </c>
      <c r="M53" s="36"/>
      <c r="N53" s="37" t="str">
        <f>IF(B53="","",IFERROR(INDEX('Risk Register'!$O$6:$O$105,MATCH(B53,'Risk Register'!$A$6:$A$105,0)),""))</f>
        <v/>
      </c>
      <c r="O53" s="37" t="str">
        <f t="shared" si="1"/>
        <v/>
      </c>
      <c r="P53" s="24"/>
    </row>
    <row r="54" spans="1:16" x14ac:dyDescent="0.35">
      <c r="A54" s="35"/>
      <c r="B54" s="35"/>
      <c r="C54" s="44" t="str">
        <f>IF(B54="","",IFERROR(INDEX('Risk Register'!$B$6:$B$105,MATCH(B54,'Risk Register'!$A$6:$A$105,0)),"Unknown Risk ID"))</f>
        <v/>
      </c>
      <c r="D54" s="24"/>
      <c r="E54" s="35"/>
      <c r="F54" s="46"/>
      <c r="G54" s="46"/>
      <c r="H54" s="36"/>
      <c r="I54" s="47"/>
      <c r="J54" s="46"/>
      <c r="K54" s="37" t="str">
        <f>IF(OR(G54="",H54="Completed",H54="Cancelled"),"",MAX(0,Methodology!$B$4-G54))</f>
        <v/>
      </c>
      <c r="L54" s="37" t="str">
        <f>IF(A54="","",IF(H54="Completed","Complete",IF(H54="Cancelled","Cancelled",IF(G54="","No due date",IF(Methodology!$B$4&gt;G54,"Overdue",IF(G54-Methodology!$B$4&lt;=Methodology!$B$5,"Due soon","On track"))))))</f>
        <v/>
      </c>
      <c r="M54" s="36"/>
      <c r="N54" s="37" t="str">
        <f>IF(B54="","",IFERROR(INDEX('Risk Register'!$O$6:$O$105,MATCH(B54,'Risk Register'!$A$6:$A$105,0)),""))</f>
        <v/>
      </c>
      <c r="O54" s="37" t="str">
        <f t="shared" si="1"/>
        <v/>
      </c>
      <c r="P54" s="24"/>
    </row>
    <row r="55" spans="1:16" x14ac:dyDescent="0.35">
      <c r="A55" s="35"/>
      <c r="B55" s="35"/>
      <c r="C55" s="44" t="str">
        <f>IF(B55="","",IFERROR(INDEX('Risk Register'!$B$6:$B$105,MATCH(B55,'Risk Register'!$A$6:$A$105,0)),"Unknown Risk ID"))</f>
        <v/>
      </c>
      <c r="D55" s="24"/>
      <c r="E55" s="35"/>
      <c r="F55" s="46"/>
      <c r="G55" s="46"/>
      <c r="H55" s="36"/>
      <c r="I55" s="47"/>
      <c r="J55" s="46"/>
      <c r="K55" s="37" t="str">
        <f>IF(OR(G55="",H55="Completed",H55="Cancelled"),"",MAX(0,Methodology!$B$4-G55))</f>
        <v/>
      </c>
      <c r="L55" s="37" t="str">
        <f>IF(A55="","",IF(H55="Completed","Complete",IF(H55="Cancelled","Cancelled",IF(G55="","No due date",IF(Methodology!$B$4&gt;G55,"Overdue",IF(G55-Methodology!$B$4&lt;=Methodology!$B$5,"Due soon","On track"))))))</f>
        <v/>
      </c>
      <c r="M55" s="36"/>
      <c r="N55" s="37" t="str">
        <f>IF(B55="","",IFERROR(INDEX('Risk Register'!$O$6:$O$105,MATCH(B55,'Risk Register'!$A$6:$A$105,0)),""))</f>
        <v/>
      </c>
      <c r="O55" s="37" t="str">
        <f t="shared" si="1"/>
        <v/>
      </c>
      <c r="P55" s="24"/>
    </row>
    <row r="56" spans="1:16" x14ac:dyDescent="0.35">
      <c r="A56" s="35"/>
      <c r="B56" s="35"/>
      <c r="C56" s="44" t="str">
        <f>IF(B56="","",IFERROR(INDEX('Risk Register'!$B$6:$B$105,MATCH(B56,'Risk Register'!$A$6:$A$105,0)),"Unknown Risk ID"))</f>
        <v/>
      </c>
      <c r="D56" s="24"/>
      <c r="E56" s="35"/>
      <c r="F56" s="46"/>
      <c r="G56" s="46"/>
      <c r="H56" s="36"/>
      <c r="I56" s="47"/>
      <c r="J56" s="46"/>
      <c r="K56" s="37" t="str">
        <f>IF(OR(G56="",H56="Completed",H56="Cancelled"),"",MAX(0,Methodology!$B$4-G56))</f>
        <v/>
      </c>
      <c r="L56" s="37" t="str">
        <f>IF(A56="","",IF(H56="Completed","Complete",IF(H56="Cancelled","Cancelled",IF(G56="","No due date",IF(Methodology!$B$4&gt;G56,"Overdue",IF(G56-Methodology!$B$4&lt;=Methodology!$B$5,"Due soon","On track"))))))</f>
        <v/>
      </c>
      <c r="M56" s="36"/>
      <c r="N56" s="37" t="str">
        <f>IF(B56="","",IFERROR(INDEX('Risk Register'!$O$6:$O$105,MATCH(B56,'Risk Register'!$A$6:$A$105,0)),""))</f>
        <v/>
      </c>
      <c r="O56" s="37" t="str">
        <f t="shared" si="1"/>
        <v/>
      </c>
      <c r="P56" s="24"/>
    </row>
    <row r="57" spans="1:16" x14ac:dyDescent="0.35">
      <c r="A57" s="35"/>
      <c r="B57" s="35"/>
      <c r="C57" s="44" t="str">
        <f>IF(B57="","",IFERROR(INDEX('Risk Register'!$B$6:$B$105,MATCH(B57,'Risk Register'!$A$6:$A$105,0)),"Unknown Risk ID"))</f>
        <v/>
      </c>
      <c r="D57" s="24"/>
      <c r="E57" s="35"/>
      <c r="F57" s="46"/>
      <c r="G57" s="46"/>
      <c r="H57" s="36"/>
      <c r="I57" s="47"/>
      <c r="J57" s="46"/>
      <c r="K57" s="37" t="str">
        <f>IF(OR(G57="",H57="Completed",H57="Cancelled"),"",MAX(0,Methodology!$B$4-G57))</f>
        <v/>
      </c>
      <c r="L57" s="37" t="str">
        <f>IF(A57="","",IF(H57="Completed","Complete",IF(H57="Cancelled","Cancelled",IF(G57="","No due date",IF(Methodology!$B$4&gt;G57,"Overdue",IF(G57-Methodology!$B$4&lt;=Methodology!$B$5,"Due soon","On track"))))))</f>
        <v/>
      </c>
      <c r="M57" s="36"/>
      <c r="N57" s="37" t="str">
        <f>IF(B57="","",IFERROR(INDEX('Risk Register'!$O$6:$O$105,MATCH(B57,'Risk Register'!$A$6:$A$105,0)),""))</f>
        <v/>
      </c>
      <c r="O57" s="37" t="str">
        <f t="shared" si="1"/>
        <v/>
      </c>
      <c r="P57" s="24"/>
    </row>
    <row r="58" spans="1:16" x14ac:dyDescent="0.35">
      <c r="A58" s="35"/>
      <c r="B58" s="35"/>
      <c r="C58" s="44" t="str">
        <f>IF(B58="","",IFERROR(INDEX('Risk Register'!$B$6:$B$105,MATCH(B58,'Risk Register'!$A$6:$A$105,0)),"Unknown Risk ID"))</f>
        <v/>
      </c>
      <c r="D58" s="24"/>
      <c r="E58" s="35"/>
      <c r="F58" s="46"/>
      <c r="G58" s="46"/>
      <c r="H58" s="36"/>
      <c r="I58" s="47"/>
      <c r="J58" s="46"/>
      <c r="K58" s="37" t="str">
        <f>IF(OR(G58="",H58="Completed",H58="Cancelled"),"",MAX(0,Methodology!$B$4-G58))</f>
        <v/>
      </c>
      <c r="L58" s="37" t="str">
        <f>IF(A58="","",IF(H58="Completed","Complete",IF(H58="Cancelled","Cancelled",IF(G58="","No due date",IF(Methodology!$B$4&gt;G58,"Overdue",IF(G58-Methodology!$B$4&lt;=Methodology!$B$5,"Due soon","On track"))))))</f>
        <v/>
      </c>
      <c r="M58" s="36"/>
      <c r="N58" s="37" t="str">
        <f>IF(B58="","",IFERROR(INDEX('Risk Register'!$O$6:$O$105,MATCH(B58,'Risk Register'!$A$6:$A$105,0)),""))</f>
        <v/>
      </c>
      <c r="O58" s="37" t="str">
        <f t="shared" si="1"/>
        <v/>
      </c>
      <c r="P58" s="24"/>
    </row>
    <row r="59" spans="1:16" x14ac:dyDescent="0.35">
      <c r="A59" s="35"/>
      <c r="B59" s="35"/>
      <c r="C59" s="44" t="str">
        <f>IF(B59="","",IFERROR(INDEX('Risk Register'!$B$6:$B$105,MATCH(B59,'Risk Register'!$A$6:$A$105,0)),"Unknown Risk ID"))</f>
        <v/>
      </c>
      <c r="D59" s="24"/>
      <c r="E59" s="35"/>
      <c r="F59" s="46"/>
      <c r="G59" s="46"/>
      <c r="H59" s="36"/>
      <c r="I59" s="47"/>
      <c r="J59" s="46"/>
      <c r="K59" s="37" t="str">
        <f>IF(OR(G59="",H59="Completed",H59="Cancelled"),"",MAX(0,Methodology!$B$4-G59))</f>
        <v/>
      </c>
      <c r="L59" s="37" t="str">
        <f>IF(A59="","",IF(H59="Completed","Complete",IF(H59="Cancelled","Cancelled",IF(G59="","No due date",IF(Methodology!$B$4&gt;G59,"Overdue",IF(G59-Methodology!$B$4&lt;=Methodology!$B$5,"Due soon","On track"))))))</f>
        <v/>
      </c>
      <c r="M59" s="36"/>
      <c r="N59" s="37" t="str">
        <f>IF(B59="","",IFERROR(INDEX('Risk Register'!$O$6:$O$105,MATCH(B59,'Risk Register'!$A$6:$A$105,0)),""))</f>
        <v/>
      </c>
      <c r="O59" s="37" t="str">
        <f t="shared" si="1"/>
        <v/>
      </c>
      <c r="P59" s="24"/>
    </row>
    <row r="60" spans="1:16" x14ac:dyDescent="0.35">
      <c r="A60" s="35"/>
      <c r="B60" s="35"/>
      <c r="C60" s="44" t="str">
        <f>IF(B60="","",IFERROR(INDEX('Risk Register'!$B$6:$B$105,MATCH(B60,'Risk Register'!$A$6:$A$105,0)),"Unknown Risk ID"))</f>
        <v/>
      </c>
      <c r="D60" s="24"/>
      <c r="E60" s="35"/>
      <c r="F60" s="46"/>
      <c r="G60" s="46"/>
      <c r="H60" s="36"/>
      <c r="I60" s="47"/>
      <c r="J60" s="46"/>
      <c r="K60" s="37" t="str">
        <f>IF(OR(G60="",H60="Completed",H60="Cancelled"),"",MAX(0,Methodology!$B$4-G60))</f>
        <v/>
      </c>
      <c r="L60" s="37" t="str">
        <f>IF(A60="","",IF(H60="Completed","Complete",IF(H60="Cancelled","Cancelled",IF(G60="","No due date",IF(Methodology!$B$4&gt;G60,"Overdue",IF(G60-Methodology!$B$4&lt;=Methodology!$B$5,"Due soon","On track"))))))</f>
        <v/>
      </c>
      <c r="M60" s="36"/>
      <c r="N60" s="37" t="str">
        <f>IF(B60="","",IFERROR(INDEX('Risk Register'!$O$6:$O$105,MATCH(B60,'Risk Register'!$A$6:$A$105,0)),""))</f>
        <v/>
      </c>
      <c r="O60" s="37" t="str">
        <f t="shared" si="1"/>
        <v/>
      </c>
      <c r="P60" s="24"/>
    </row>
    <row r="61" spans="1:16" x14ac:dyDescent="0.35">
      <c r="A61" s="35"/>
      <c r="B61" s="35"/>
      <c r="C61" s="44" t="str">
        <f>IF(B61="","",IFERROR(INDEX('Risk Register'!$B$6:$B$105,MATCH(B61,'Risk Register'!$A$6:$A$105,0)),"Unknown Risk ID"))</f>
        <v/>
      </c>
      <c r="D61" s="24"/>
      <c r="E61" s="35"/>
      <c r="F61" s="46"/>
      <c r="G61" s="46"/>
      <c r="H61" s="36"/>
      <c r="I61" s="47"/>
      <c r="J61" s="46"/>
      <c r="K61" s="37" t="str">
        <f>IF(OR(G61="",H61="Completed",H61="Cancelled"),"",MAX(0,Methodology!$B$4-G61))</f>
        <v/>
      </c>
      <c r="L61" s="37" t="str">
        <f>IF(A61="","",IF(H61="Completed","Complete",IF(H61="Cancelled","Cancelled",IF(G61="","No due date",IF(Methodology!$B$4&gt;G61,"Overdue",IF(G61-Methodology!$B$4&lt;=Methodology!$B$5,"Due soon","On track"))))))</f>
        <v/>
      </c>
      <c r="M61" s="36"/>
      <c r="N61" s="37" t="str">
        <f>IF(B61="","",IFERROR(INDEX('Risk Register'!$O$6:$O$105,MATCH(B61,'Risk Register'!$A$6:$A$105,0)),""))</f>
        <v/>
      </c>
      <c r="O61" s="37" t="str">
        <f t="shared" si="1"/>
        <v/>
      </c>
      <c r="P61" s="24"/>
    </row>
    <row r="62" spans="1:16" x14ac:dyDescent="0.35">
      <c r="A62" s="35"/>
      <c r="B62" s="35"/>
      <c r="C62" s="44" t="str">
        <f>IF(B62="","",IFERROR(INDEX('Risk Register'!$B$6:$B$105,MATCH(B62,'Risk Register'!$A$6:$A$105,0)),"Unknown Risk ID"))</f>
        <v/>
      </c>
      <c r="D62" s="24"/>
      <c r="E62" s="35"/>
      <c r="F62" s="46"/>
      <c r="G62" s="46"/>
      <c r="H62" s="36"/>
      <c r="I62" s="47"/>
      <c r="J62" s="46"/>
      <c r="K62" s="37" t="str">
        <f>IF(OR(G62="",H62="Completed",H62="Cancelled"),"",MAX(0,Methodology!$B$4-G62))</f>
        <v/>
      </c>
      <c r="L62" s="37" t="str">
        <f>IF(A62="","",IF(H62="Completed","Complete",IF(H62="Cancelled","Cancelled",IF(G62="","No due date",IF(Methodology!$B$4&gt;G62,"Overdue",IF(G62-Methodology!$B$4&lt;=Methodology!$B$5,"Due soon","On track"))))))</f>
        <v/>
      </c>
      <c r="M62" s="36"/>
      <c r="N62" s="37" t="str">
        <f>IF(B62="","",IFERROR(INDEX('Risk Register'!$O$6:$O$105,MATCH(B62,'Risk Register'!$A$6:$A$105,0)),""))</f>
        <v/>
      </c>
      <c r="O62" s="37" t="str">
        <f t="shared" si="1"/>
        <v/>
      </c>
      <c r="P62" s="24"/>
    </row>
    <row r="63" spans="1:16" x14ac:dyDescent="0.35">
      <c r="A63" s="35"/>
      <c r="B63" s="35"/>
      <c r="C63" s="44" t="str">
        <f>IF(B63="","",IFERROR(INDEX('Risk Register'!$B$6:$B$105,MATCH(B63,'Risk Register'!$A$6:$A$105,0)),"Unknown Risk ID"))</f>
        <v/>
      </c>
      <c r="D63" s="24"/>
      <c r="E63" s="35"/>
      <c r="F63" s="46"/>
      <c r="G63" s="46"/>
      <c r="H63" s="36"/>
      <c r="I63" s="47"/>
      <c r="J63" s="46"/>
      <c r="K63" s="37" t="str">
        <f>IF(OR(G63="",H63="Completed",H63="Cancelled"),"",MAX(0,Methodology!$B$4-G63))</f>
        <v/>
      </c>
      <c r="L63" s="37" t="str">
        <f>IF(A63="","",IF(H63="Completed","Complete",IF(H63="Cancelled","Cancelled",IF(G63="","No due date",IF(Methodology!$B$4&gt;G63,"Overdue",IF(G63-Methodology!$B$4&lt;=Methodology!$B$5,"Due soon","On track"))))))</f>
        <v/>
      </c>
      <c r="M63" s="36"/>
      <c r="N63" s="37" t="str">
        <f>IF(B63="","",IFERROR(INDEX('Risk Register'!$O$6:$O$105,MATCH(B63,'Risk Register'!$A$6:$A$105,0)),""))</f>
        <v/>
      </c>
      <c r="O63" s="37" t="str">
        <f t="shared" si="1"/>
        <v/>
      </c>
      <c r="P63" s="24"/>
    </row>
    <row r="64" spans="1:16" x14ac:dyDescent="0.35">
      <c r="A64" s="35"/>
      <c r="B64" s="35"/>
      <c r="C64" s="44" t="str">
        <f>IF(B64="","",IFERROR(INDEX('Risk Register'!$B$6:$B$105,MATCH(B64,'Risk Register'!$A$6:$A$105,0)),"Unknown Risk ID"))</f>
        <v/>
      </c>
      <c r="D64" s="24"/>
      <c r="E64" s="35"/>
      <c r="F64" s="46"/>
      <c r="G64" s="46"/>
      <c r="H64" s="36"/>
      <c r="I64" s="47"/>
      <c r="J64" s="46"/>
      <c r="K64" s="37" t="str">
        <f>IF(OR(G64="",H64="Completed",H64="Cancelled"),"",MAX(0,Methodology!$B$4-G64))</f>
        <v/>
      </c>
      <c r="L64" s="37" t="str">
        <f>IF(A64="","",IF(H64="Completed","Complete",IF(H64="Cancelled","Cancelled",IF(G64="","No due date",IF(Methodology!$B$4&gt;G64,"Overdue",IF(G64-Methodology!$B$4&lt;=Methodology!$B$5,"Due soon","On track"))))))</f>
        <v/>
      </c>
      <c r="M64" s="36"/>
      <c r="N64" s="37" t="str">
        <f>IF(B64="","",IFERROR(INDEX('Risk Register'!$O$6:$O$105,MATCH(B64,'Risk Register'!$A$6:$A$105,0)),""))</f>
        <v/>
      </c>
      <c r="O64" s="37" t="str">
        <f t="shared" si="1"/>
        <v/>
      </c>
      <c r="P64" s="24"/>
    </row>
    <row r="65" spans="1:16" x14ac:dyDescent="0.35">
      <c r="A65" s="35"/>
      <c r="B65" s="35"/>
      <c r="C65" s="44" t="str">
        <f>IF(B65="","",IFERROR(INDEX('Risk Register'!$B$6:$B$105,MATCH(B65,'Risk Register'!$A$6:$A$105,0)),"Unknown Risk ID"))</f>
        <v/>
      </c>
      <c r="D65" s="24"/>
      <c r="E65" s="35"/>
      <c r="F65" s="46"/>
      <c r="G65" s="46"/>
      <c r="H65" s="36"/>
      <c r="I65" s="47"/>
      <c r="J65" s="46"/>
      <c r="K65" s="37" t="str">
        <f>IF(OR(G65="",H65="Completed",H65="Cancelled"),"",MAX(0,Methodology!$B$4-G65))</f>
        <v/>
      </c>
      <c r="L65" s="37" t="str">
        <f>IF(A65="","",IF(H65="Completed","Complete",IF(H65="Cancelled","Cancelled",IF(G65="","No due date",IF(Methodology!$B$4&gt;G65,"Overdue",IF(G65-Methodology!$B$4&lt;=Methodology!$B$5,"Due soon","On track"))))))</f>
        <v/>
      </c>
      <c r="M65" s="36"/>
      <c r="N65" s="37" t="str">
        <f>IF(B65="","",IFERROR(INDEX('Risk Register'!$O$6:$O$105,MATCH(B65,'Risk Register'!$A$6:$A$105,0)),""))</f>
        <v/>
      </c>
      <c r="O65" s="37" t="str">
        <f t="shared" si="1"/>
        <v/>
      </c>
      <c r="P65" s="24"/>
    </row>
    <row r="66" spans="1:16" x14ac:dyDescent="0.35">
      <c r="A66" s="35"/>
      <c r="B66" s="35"/>
      <c r="C66" s="44" t="str">
        <f>IF(B66="","",IFERROR(INDEX('Risk Register'!$B$6:$B$105,MATCH(B66,'Risk Register'!$A$6:$A$105,0)),"Unknown Risk ID"))</f>
        <v/>
      </c>
      <c r="D66" s="24"/>
      <c r="E66" s="35"/>
      <c r="F66" s="46"/>
      <c r="G66" s="46"/>
      <c r="H66" s="36"/>
      <c r="I66" s="47"/>
      <c r="J66" s="46"/>
      <c r="K66" s="37" t="str">
        <f>IF(OR(G66="",H66="Completed",H66="Cancelled"),"",MAX(0,Methodology!$B$4-G66))</f>
        <v/>
      </c>
      <c r="L66" s="37" t="str">
        <f>IF(A66="","",IF(H66="Completed","Complete",IF(H66="Cancelled","Cancelled",IF(G66="","No due date",IF(Methodology!$B$4&gt;G66,"Overdue",IF(G66-Methodology!$B$4&lt;=Methodology!$B$5,"Due soon","On track"))))))</f>
        <v/>
      </c>
      <c r="M66" s="36"/>
      <c r="N66" s="37" t="str">
        <f>IF(B66="","",IFERROR(INDEX('Risk Register'!$O$6:$O$105,MATCH(B66,'Risk Register'!$A$6:$A$105,0)),""))</f>
        <v/>
      </c>
      <c r="O66" s="37" t="str">
        <f t="shared" si="1"/>
        <v/>
      </c>
      <c r="P66" s="24"/>
    </row>
    <row r="67" spans="1:16" x14ac:dyDescent="0.35">
      <c r="A67" s="35"/>
      <c r="B67" s="35"/>
      <c r="C67" s="44" t="str">
        <f>IF(B67="","",IFERROR(INDEX('Risk Register'!$B$6:$B$105,MATCH(B67,'Risk Register'!$A$6:$A$105,0)),"Unknown Risk ID"))</f>
        <v/>
      </c>
      <c r="D67" s="24"/>
      <c r="E67" s="35"/>
      <c r="F67" s="46"/>
      <c r="G67" s="46"/>
      <c r="H67" s="36"/>
      <c r="I67" s="47"/>
      <c r="J67" s="46"/>
      <c r="K67" s="37" t="str">
        <f>IF(OR(G67="",H67="Completed",H67="Cancelled"),"",MAX(0,Methodology!$B$4-G67))</f>
        <v/>
      </c>
      <c r="L67" s="37" t="str">
        <f>IF(A67="","",IF(H67="Completed","Complete",IF(H67="Cancelled","Cancelled",IF(G67="","No due date",IF(Methodology!$B$4&gt;G67,"Overdue",IF(G67-Methodology!$B$4&lt;=Methodology!$B$5,"Due soon","On track"))))))</f>
        <v/>
      </c>
      <c r="M67" s="36"/>
      <c r="N67" s="37" t="str">
        <f>IF(B67="","",IFERROR(INDEX('Risk Register'!$O$6:$O$105,MATCH(B67,'Risk Register'!$A$6:$A$105,0)),""))</f>
        <v/>
      </c>
      <c r="O67" s="37" t="str">
        <f t="shared" si="1"/>
        <v/>
      </c>
      <c r="P67" s="24"/>
    </row>
    <row r="68" spans="1:16" x14ac:dyDescent="0.35">
      <c r="A68" s="35"/>
      <c r="B68" s="35"/>
      <c r="C68" s="44" t="str">
        <f>IF(B68="","",IFERROR(INDEX('Risk Register'!$B$6:$B$105,MATCH(B68,'Risk Register'!$A$6:$A$105,0)),"Unknown Risk ID"))</f>
        <v/>
      </c>
      <c r="D68" s="24"/>
      <c r="E68" s="35"/>
      <c r="F68" s="46"/>
      <c r="G68" s="46"/>
      <c r="H68" s="36"/>
      <c r="I68" s="47"/>
      <c r="J68" s="46"/>
      <c r="K68" s="37" t="str">
        <f>IF(OR(G68="",H68="Completed",H68="Cancelled"),"",MAX(0,Methodology!$B$4-G68))</f>
        <v/>
      </c>
      <c r="L68" s="37" t="str">
        <f>IF(A68="","",IF(H68="Completed","Complete",IF(H68="Cancelled","Cancelled",IF(G68="","No due date",IF(Methodology!$B$4&gt;G68,"Overdue",IF(G68-Methodology!$B$4&lt;=Methodology!$B$5,"Due soon","On track"))))))</f>
        <v/>
      </c>
      <c r="M68" s="36"/>
      <c r="N68" s="37" t="str">
        <f>IF(B68="","",IFERROR(INDEX('Risk Register'!$O$6:$O$105,MATCH(B68,'Risk Register'!$A$6:$A$105,0)),""))</f>
        <v/>
      </c>
      <c r="O68" s="37" t="str">
        <f t="shared" si="1"/>
        <v/>
      </c>
      <c r="P68" s="24"/>
    </row>
    <row r="69" spans="1:16" x14ac:dyDescent="0.35">
      <c r="A69" s="35"/>
      <c r="B69" s="35"/>
      <c r="C69" s="44" t="str">
        <f>IF(B69="","",IFERROR(INDEX('Risk Register'!$B$6:$B$105,MATCH(B69,'Risk Register'!$A$6:$A$105,0)),"Unknown Risk ID"))</f>
        <v/>
      </c>
      <c r="D69" s="24"/>
      <c r="E69" s="35"/>
      <c r="F69" s="46"/>
      <c r="G69" s="46"/>
      <c r="H69" s="36"/>
      <c r="I69" s="47"/>
      <c r="J69" s="46"/>
      <c r="K69" s="37" t="str">
        <f>IF(OR(G69="",H69="Completed",H69="Cancelled"),"",MAX(0,Methodology!$B$4-G69))</f>
        <v/>
      </c>
      <c r="L69" s="37" t="str">
        <f>IF(A69="","",IF(H69="Completed","Complete",IF(H69="Cancelled","Cancelled",IF(G69="","No due date",IF(Methodology!$B$4&gt;G69,"Overdue",IF(G69-Methodology!$B$4&lt;=Methodology!$B$5,"Due soon","On track"))))))</f>
        <v/>
      </c>
      <c r="M69" s="36"/>
      <c r="N69" s="37" t="str">
        <f>IF(B69="","",IFERROR(INDEX('Risk Register'!$O$6:$O$105,MATCH(B69,'Risk Register'!$A$6:$A$105,0)),""))</f>
        <v/>
      </c>
      <c r="O69" s="37" t="str">
        <f t="shared" si="1"/>
        <v/>
      </c>
      <c r="P69" s="24"/>
    </row>
    <row r="70" spans="1:16" x14ac:dyDescent="0.35">
      <c r="A70" s="35"/>
      <c r="B70" s="35"/>
      <c r="C70" s="44" t="str">
        <f>IF(B70="","",IFERROR(INDEX('Risk Register'!$B$6:$B$105,MATCH(B70,'Risk Register'!$A$6:$A$105,0)),"Unknown Risk ID"))</f>
        <v/>
      </c>
      <c r="D70" s="24"/>
      <c r="E70" s="35"/>
      <c r="F70" s="46"/>
      <c r="G70" s="46"/>
      <c r="H70" s="36"/>
      <c r="I70" s="47"/>
      <c r="J70" s="46"/>
      <c r="K70" s="37" t="str">
        <f>IF(OR(G70="",H70="Completed",H70="Cancelled"),"",MAX(0,Methodology!$B$4-G70))</f>
        <v/>
      </c>
      <c r="L70" s="37" t="str">
        <f>IF(A70="","",IF(H70="Completed","Complete",IF(H70="Cancelled","Cancelled",IF(G70="","No due date",IF(Methodology!$B$4&gt;G70,"Overdue",IF(G70-Methodology!$B$4&lt;=Methodology!$B$5,"Due soon","On track"))))))</f>
        <v/>
      </c>
      <c r="M70" s="36"/>
      <c r="N70" s="37" t="str">
        <f>IF(B70="","",IFERROR(INDEX('Risk Register'!$O$6:$O$105,MATCH(B70,'Risk Register'!$A$6:$A$105,0)),""))</f>
        <v/>
      </c>
      <c r="O70" s="37" t="str">
        <f t="shared" ref="O70:O101" si="2">IF(OR(M70="",N70=""),"",N70-M70)</f>
        <v/>
      </c>
      <c r="P70" s="24"/>
    </row>
    <row r="71" spans="1:16" x14ac:dyDescent="0.35">
      <c r="A71" s="35"/>
      <c r="B71" s="35"/>
      <c r="C71" s="44" t="str">
        <f>IF(B71="","",IFERROR(INDEX('Risk Register'!$B$6:$B$105,MATCH(B71,'Risk Register'!$A$6:$A$105,0)),"Unknown Risk ID"))</f>
        <v/>
      </c>
      <c r="D71" s="24"/>
      <c r="E71" s="35"/>
      <c r="F71" s="46"/>
      <c r="G71" s="46"/>
      <c r="H71" s="36"/>
      <c r="I71" s="47"/>
      <c r="J71" s="46"/>
      <c r="K71" s="37" t="str">
        <f>IF(OR(G71="",H71="Completed",H71="Cancelled"),"",MAX(0,Methodology!$B$4-G71))</f>
        <v/>
      </c>
      <c r="L71" s="37" t="str">
        <f>IF(A71="","",IF(H71="Completed","Complete",IF(H71="Cancelled","Cancelled",IF(G71="","No due date",IF(Methodology!$B$4&gt;G71,"Overdue",IF(G71-Methodology!$B$4&lt;=Methodology!$B$5,"Due soon","On track"))))))</f>
        <v/>
      </c>
      <c r="M71" s="36"/>
      <c r="N71" s="37" t="str">
        <f>IF(B71="","",IFERROR(INDEX('Risk Register'!$O$6:$O$105,MATCH(B71,'Risk Register'!$A$6:$A$105,0)),""))</f>
        <v/>
      </c>
      <c r="O71" s="37" t="str">
        <f t="shared" si="2"/>
        <v/>
      </c>
      <c r="P71" s="24"/>
    </row>
    <row r="72" spans="1:16" x14ac:dyDescent="0.35">
      <c r="A72" s="35"/>
      <c r="B72" s="35"/>
      <c r="C72" s="44" t="str">
        <f>IF(B72="","",IFERROR(INDEX('Risk Register'!$B$6:$B$105,MATCH(B72,'Risk Register'!$A$6:$A$105,0)),"Unknown Risk ID"))</f>
        <v/>
      </c>
      <c r="D72" s="24"/>
      <c r="E72" s="35"/>
      <c r="F72" s="46"/>
      <c r="G72" s="46"/>
      <c r="H72" s="36"/>
      <c r="I72" s="47"/>
      <c r="J72" s="46"/>
      <c r="K72" s="37" t="str">
        <f>IF(OR(G72="",H72="Completed",H72="Cancelled"),"",MAX(0,Methodology!$B$4-G72))</f>
        <v/>
      </c>
      <c r="L72" s="37" t="str">
        <f>IF(A72="","",IF(H72="Completed","Complete",IF(H72="Cancelled","Cancelled",IF(G72="","No due date",IF(Methodology!$B$4&gt;G72,"Overdue",IF(G72-Methodology!$B$4&lt;=Methodology!$B$5,"Due soon","On track"))))))</f>
        <v/>
      </c>
      <c r="M72" s="36"/>
      <c r="N72" s="37" t="str">
        <f>IF(B72="","",IFERROR(INDEX('Risk Register'!$O$6:$O$105,MATCH(B72,'Risk Register'!$A$6:$A$105,0)),""))</f>
        <v/>
      </c>
      <c r="O72" s="37" t="str">
        <f t="shared" si="2"/>
        <v/>
      </c>
      <c r="P72" s="24"/>
    </row>
    <row r="73" spans="1:16" x14ac:dyDescent="0.35">
      <c r="A73" s="35"/>
      <c r="B73" s="35"/>
      <c r="C73" s="44" t="str">
        <f>IF(B73="","",IFERROR(INDEX('Risk Register'!$B$6:$B$105,MATCH(B73,'Risk Register'!$A$6:$A$105,0)),"Unknown Risk ID"))</f>
        <v/>
      </c>
      <c r="D73" s="24"/>
      <c r="E73" s="35"/>
      <c r="F73" s="46"/>
      <c r="G73" s="46"/>
      <c r="H73" s="36"/>
      <c r="I73" s="47"/>
      <c r="J73" s="46"/>
      <c r="K73" s="37" t="str">
        <f>IF(OR(G73="",H73="Completed",H73="Cancelled"),"",MAX(0,Methodology!$B$4-G73))</f>
        <v/>
      </c>
      <c r="L73" s="37" t="str">
        <f>IF(A73="","",IF(H73="Completed","Complete",IF(H73="Cancelled","Cancelled",IF(G73="","No due date",IF(Methodology!$B$4&gt;G73,"Overdue",IF(G73-Methodology!$B$4&lt;=Methodology!$B$5,"Due soon","On track"))))))</f>
        <v/>
      </c>
      <c r="M73" s="36"/>
      <c r="N73" s="37" t="str">
        <f>IF(B73="","",IFERROR(INDEX('Risk Register'!$O$6:$O$105,MATCH(B73,'Risk Register'!$A$6:$A$105,0)),""))</f>
        <v/>
      </c>
      <c r="O73" s="37" t="str">
        <f t="shared" si="2"/>
        <v/>
      </c>
      <c r="P73" s="24"/>
    </row>
    <row r="74" spans="1:16" x14ac:dyDescent="0.35">
      <c r="A74" s="35"/>
      <c r="B74" s="35"/>
      <c r="C74" s="44" t="str">
        <f>IF(B74="","",IFERROR(INDEX('Risk Register'!$B$6:$B$105,MATCH(B74,'Risk Register'!$A$6:$A$105,0)),"Unknown Risk ID"))</f>
        <v/>
      </c>
      <c r="D74" s="24"/>
      <c r="E74" s="35"/>
      <c r="F74" s="46"/>
      <c r="G74" s="46"/>
      <c r="H74" s="36"/>
      <c r="I74" s="47"/>
      <c r="J74" s="46"/>
      <c r="K74" s="37" t="str">
        <f>IF(OR(G74="",H74="Completed",H74="Cancelled"),"",MAX(0,Methodology!$B$4-G74))</f>
        <v/>
      </c>
      <c r="L74" s="37" t="str">
        <f>IF(A74="","",IF(H74="Completed","Complete",IF(H74="Cancelled","Cancelled",IF(G74="","No due date",IF(Methodology!$B$4&gt;G74,"Overdue",IF(G74-Methodology!$B$4&lt;=Methodology!$B$5,"Due soon","On track"))))))</f>
        <v/>
      </c>
      <c r="M74" s="36"/>
      <c r="N74" s="37" t="str">
        <f>IF(B74="","",IFERROR(INDEX('Risk Register'!$O$6:$O$105,MATCH(B74,'Risk Register'!$A$6:$A$105,0)),""))</f>
        <v/>
      </c>
      <c r="O74" s="37" t="str">
        <f t="shared" si="2"/>
        <v/>
      </c>
      <c r="P74" s="24"/>
    </row>
    <row r="75" spans="1:16" x14ac:dyDescent="0.35">
      <c r="A75" s="35"/>
      <c r="B75" s="35"/>
      <c r="C75" s="44" t="str">
        <f>IF(B75="","",IFERROR(INDEX('Risk Register'!$B$6:$B$105,MATCH(B75,'Risk Register'!$A$6:$A$105,0)),"Unknown Risk ID"))</f>
        <v/>
      </c>
      <c r="D75" s="24"/>
      <c r="E75" s="35"/>
      <c r="F75" s="46"/>
      <c r="G75" s="46"/>
      <c r="H75" s="36"/>
      <c r="I75" s="47"/>
      <c r="J75" s="46"/>
      <c r="K75" s="37" t="str">
        <f>IF(OR(G75="",H75="Completed",H75="Cancelled"),"",MAX(0,Methodology!$B$4-G75))</f>
        <v/>
      </c>
      <c r="L75" s="37" t="str">
        <f>IF(A75="","",IF(H75="Completed","Complete",IF(H75="Cancelled","Cancelled",IF(G75="","No due date",IF(Methodology!$B$4&gt;G75,"Overdue",IF(G75-Methodology!$B$4&lt;=Methodology!$B$5,"Due soon","On track"))))))</f>
        <v/>
      </c>
      <c r="M75" s="36"/>
      <c r="N75" s="37" t="str">
        <f>IF(B75="","",IFERROR(INDEX('Risk Register'!$O$6:$O$105,MATCH(B75,'Risk Register'!$A$6:$A$105,0)),""))</f>
        <v/>
      </c>
      <c r="O75" s="37" t="str">
        <f t="shared" si="2"/>
        <v/>
      </c>
      <c r="P75" s="24"/>
    </row>
    <row r="76" spans="1:16" x14ac:dyDescent="0.35">
      <c r="A76" s="35"/>
      <c r="B76" s="35"/>
      <c r="C76" s="44" t="str">
        <f>IF(B76="","",IFERROR(INDEX('Risk Register'!$B$6:$B$105,MATCH(B76,'Risk Register'!$A$6:$A$105,0)),"Unknown Risk ID"))</f>
        <v/>
      </c>
      <c r="D76" s="24"/>
      <c r="E76" s="35"/>
      <c r="F76" s="46"/>
      <c r="G76" s="46"/>
      <c r="H76" s="36"/>
      <c r="I76" s="47"/>
      <c r="J76" s="46"/>
      <c r="K76" s="37" t="str">
        <f>IF(OR(G76="",H76="Completed",H76="Cancelled"),"",MAX(0,Methodology!$B$4-G76))</f>
        <v/>
      </c>
      <c r="L76" s="37" t="str">
        <f>IF(A76="","",IF(H76="Completed","Complete",IF(H76="Cancelled","Cancelled",IF(G76="","No due date",IF(Methodology!$B$4&gt;G76,"Overdue",IF(G76-Methodology!$B$4&lt;=Methodology!$B$5,"Due soon","On track"))))))</f>
        <v/>
      </c>
      <c r="M76" s="36"/>
      <c r="N76" s="37" t="str">
        <f>IF(B76="","",IFERROR(INDEX('Risk Register'!$O$6:$O$105,MATCH(B76,'Risk Register'!$A$6:$A$105,0)),""))</f>
        <v/>
      </c>
      <c r="O76" s="37" t="str">
        <f t="shared" si="2"/>
        <v/>
      </c>
      <c r="P76" s="24"/>
    </row>
    <row r="77" spans="1:16" x14ac:dyDescent="0.35">
      <c r="A77" s="35"/>
      <c r="B77" s="35"/>
      <c r="C77" s="44" t="str">
        <f>IF(B77="","",IFERROR(INDEX('Risk Register'!$B$6:$B$105,MATCH(B77,'Risk Register'!$A$6:$A$105,0)),"Unknown Risk ID"))</f>
        <v/>
      </c>
      <c r="D77" s="24"/>
      <c r="E77" s="35"/>
      <c r="F77" s="46"/>
      <c r="G77" s="46"/>
      <c r="H77" s="36"/>
      <c r="I77" s="47"/>
      <c r="J77" s="46"/>
      <c r="K77" s="37" t="str">
        <f>IF(OR(G77="",H77="Completed",H77="Cancelled"),"",MAX(0,Methodology!$B$4-G77))</f>
        <v/>
      </c>
      <c r="L77" s="37" t="str">
        <f>IF(A77="","",IF(H77="Completed","Complete",IF(H77="Cancelled","Cancelled",IF(G77="","No due date",IF(Methodology!$B$4&gt;G77,"Overdue",IF(G77-Methodology!$B$4&lt;=Methodology!$B$5,"Due soon","On track"))))))</f>
        <v/>
      </c>
      <c r="M77" s="36"/>
      <c r="N77" s="37" t="str">
        <f>IF(B77="","",IFERROR(INDEX('Risk Register'!$O$6:$O$105,MATCH(B77,'Risk Register'!$A$6:$A$105,0)),""))</f>
        <v/>
      </c>
      <c r="O77" s="37" t="str">
        <f t="shared" si="2"/>
        <v/>
      </c>
      <c r="P77" s="24"/>
    </row>
    <row r="78" spans="1:16" x14ac:dyDescent="0.35">
      <c r="A78" s="35"/>
      <c r="B78" s="35"/>
      <c r="C78" s="44" t="str">
        <f>IF(B78="","",IFERROR(INDEX('Risk Register'!$B$6:$B$105,MATCH(B78,'Risk Register'!$A$6:$A$105,0)),"Unknown Risk ID"))</f>
        <v/>
      </c>
      <c r="D78" s="24"/>
      <c r="E78" s="35"/>
      <c r="F78" s="46"/>
      <c r="G78" s="46"/>
      <c r="H78" s="36"/>
      <c r="I78" s="47"/>
      <c r="J78" s="46"/>
      <c r="K78" s="37" t="str">
        <f>IF(OR(G78="",H78="Completed",H78="Cancelled"),"",MAX(0,Methodology!$B$4-G78))</f>
        <v/>
      </c>
      <c r="L78" s="37" t="str">
        <f>IF(A78="","",IF(H78="Completed","Complete",IF(H78="Cancelled","Cancelled",IF(G78="","No due date",IF(Methodology!$B$4&gt;G78,"Overdue",IF(G78-Methodology!$B$4&lt;=Methodology!$B$5,"Due soon","On track"))))))</f>
        <v/>
      </c>
      <c r="M78" s="36"/>
      <c r="N78" s="37" t="str">
        <f>IF(B78="","",IFERROR(INDEX('Risk Register'!$O$6:$O$105,MATCH(B78,'Risk Register'!$A$6:$A$105,0)),""))</f>
        <v/>
      </c>
      <c r="O78" s="37" t="str">
        <f t="shared" si="2"/>
        <v/>
      </c>
      <c r="P78" s="24"/>
    </row>
    <row r="79" spans="1:16" x14ac:dyDescent="0.35">
      <c r="A79" s="35"/>
      <c r="B79" s="35"/>
      <c r="C79" s="44" t="str">
        <f>IF(B79="","",IFERROR(INDEX('Risk Register'!$B$6:$B$105,MATCH(B79,'Risk Register'!$A$6:$A$105,0)),"Unknown Risk ID"))</f>
        <v/>
      </c>
      <c r="D79" s="24"/>
      <c r="E79" s="35"/>
      <c r="F79" s="46"/>
      <c r="G79" s="46"/>
      <c r="H79" s="36"/>
      <c r="I79" s="47"/>
      <c r="J79" s="46"/>
      <c r="K79" s="37" t="str">
        <f>IF(OR(G79="",H79="Completed",H79="Cancelled"),"",MAX(0,Methodology!$B$4-G79))</f>
        <v/>
      </c>
      <c r="L79" s="37" t="str">
        <f>IF(A79="","",IF(H79="Completed","Complete",IF(H79="Cancelled","Cancelled",IF(G79="","No due date",IF(Methodology!$B$4&gt;G79,"Overdue",IF(G79-Methodology!$B$4&lt;=Methodology!$B$5,"Due soon","On track"))))))</f>
        <v/>
      </c>
      <c r="M79" s="36"/>
      <c r="N79" s="37" t="str">
        <f>IF(B79="","",IFERROR(INDEX('Risk Register'!$O$6:$O$105,MATCH(B79,'Risk Register'!$A$6:$A$105,0)),""))</f>
        <v/>
      </c>
      <c r="O79" s="37" t="str">
        <f t="shared" si="2"/>
        <v/>
      </c>
      <c r="P79" s="24"/>
    </row>
    <row r="80" spans="1:16" x14ac:dyDescent="0.35">
      <c r="A80" s="35"/>
      <c r="B80" s="35"/>
      <c r="C80" s="44" t="str">
        <f>IF(B80="","",IFERROR(INDEX('Risk Register'!$B$6:$B$105,MATCH(B80,'Risk Register'!$A$6:$A$105,0)),"Unknown Risk ID"))</f>
        <v/>
      </c>
      <c r="D80" s="24"/>
      <c r="E80" s="35"/>
      <c r="F80" s="46"/>
      <c r="G80" s="46"/>
      <c r="H80" s="36"/>
      <c r="I80" s="47"/>
      <c r="J80" s="46"/>
      <c r="K80" s="37" t="str">
        <f>IF(OR(G80="",H80="Completed",H80="Cancelled"),"",MAX(0,Methodology!$B$4-G80))</f>
        <v/>
      </c>
      <c r="L80" s="37" t="str">
        <f>IF(A80="","",IF(H80="Completed","Complete",IF(H80="Cancelled","Cancelled",IF(G80="","No due date",IF(Methodology!$B$4&gt;G80,"Overdue",IF(G80-Methodology!$B$4&lt;=Methodology!$B$5,"Due soon","On track"))))))</f>
        <v/>
      </c>
      <c r="M80" s="36"/>
      <c r="N80" s="37" t="str">
        <f>IF(B80="","",IFERROR(INDEX('Risk Register'!$O$6:$O$105,MATCH(B80,'Risk Register'!$A$6:$A$105,0)),""))</f>
        <v/>
      </c>
      <c r="O80" s="37" t="str">
        <f t="shared" si="2"/>
        <v/>
      </c>
      <c r="P80" s="24"/>
    </row>
    <row r="81" spans="1:16" x14ac:dyDescent="0.35">
      <c r="A81" s="35"/>
      <c r="B81" s="35"/>
      <c r="C81" s="44" t="str">
        <f>IF(B81="","",IFERROR(INDEX('Risk Register'!$B$6:$B$105,MATCH(B81,'Risk Register'!$A$6:$A$105,0)),"Unknown Risk ID"))</f>
        <v/>
      </c>
      <c r="D81" s="24"/>
      <c r="E81" s="35"/>
      <c r="F81" s="46"/>
      <c r="G81" s="46"/>
      <c r="H81" s="36"/>
      <c r="I81" s="47"/>
      <c r="J81" s="46"/>
      <c r="K81" s="37" t="str">
        <f>IF(OR(G81="",H81="Completed",H81="Cancelled"),"",MAX(0,Methodology!$B$4-G81))</f>
        <v/>
      </c>
      <c r="L81" s="37" t="str">
        <f>IF(A81="","",IF(H81="Completed","Complete",IF(H81="Cancelled","Cancelled",IF(G81="","No due date",IF(Methodology!$B$4&gt;G81,"Overdue",IF(G81-Methodology!$B$4&lt;=Methodology!$B$5,"Due soon","On track"))))))</f>
        <v/>
      </c>
      <c r="M81" s="36"/>
      <c r="N81" s="37" t="str">
        <f>IF(B81="","",IFERROR(INDEX('Risk Register'!$O$6:$O$105,MATCH(B81,'Risk Register'!$A$6:$A$105,0)),""))</f>
        <v/>
      </c>
      <c r="O81" s="37" t="str">
        <f t="shared" si="2"/>
        <v/>
      </c>
      <c r="P81" s="24"/>
    </row>
    <row r="82" spans="1:16" x14ac:dyDescent="0.35">
      <c r="A82" s="35"/>
      <c r="B82" s="35"/>
      <c r="C82" s="44" t="str">
        <f>IF(B82="","",IFERROR(INDEX('Risk Register'!$B$6:$B$105,MATCH(B82,'Risk Register'!$A$6:$A$105,0)),"Unknown Risk ID"))</f>
        <v/>
      </c>
      <c r="D82" s="24"/>
      <c r="E82" s="35"/>
      <c r="F82" s="46"/>
      <c r="G82" s="46"/>
      <c r="H82" s="36"/>
      <c r="I82" s="47"/>
      <c r="J82" s="46"/>
      <c r="K82" s="37" t="str">
        <f>IF(OR(G82="",H82="Completed",H82="Cancelled"),"",MAX(0,Methodology!$B$4-G82))</f>
        <v/>
      </c>
      <c r="L82" s="37" t="str">
        <f>IF(A82="","",IF(H82="Completed","Complete",IF(H82="Cancelled","Cancelled",IF(G82="","No due date",IF(Methodology!$B$4&gt;G82,"Overdue",IF(G82-Methodology!$B$4&lt;=Methodology!$B$5,"Due soon","On track"))))))</f>
        <v/>
      </c>
      <c r="M82" s="36"/>
      <c r="N82" s="37" t="str">
        <f>IF(B82="","",IFERROR(INDEX('Risk Register'!$O$6:$O$105,MATCH(B82,'Risk Register'!$A$6:$A$105,0)),""))</f>
        <v/>
      </c>
      <c r="O82" s="37" t="str">
        <f t="shared" si="2"/>
        <v/>
      </c>
      <c r="P82" s="24"/>
    </row>
    <row r="83" spans="1:16" x14ac:dyDescent="0.35">
      <c r="A83" s="35"/>
      <c r="B83" s="35"/>
      <c r="C83" s="44" t="str">
        <f>IF(B83="","",IFERROR(INDEX('Risk Register'!$B$6:$B$105,MATCH(B83,'Risk Register'!$A$6:$A$105,0)),"Unknown Risk ID"))</f>
        <v/>
      </c>
      <c r="D83" s="24"/>
      <c r="E83" s="35"/>
      <c r="F83" s="46"/>
      <c r="G83" s="46"/>
      <c r="H83" s="36"/>
      <c r="I83" s="47"/>
      <c r="J83" s="46"/>
      <c r="K83" s="37" t="str">
        <f>IF(OR(G83="",H83="Completed",H83="Cancelled"),"",MAX(0,Methodology!$B$4-G83))</f>
        <v/>
      </c>
      <c r="L83" s="37" t="str">
        <f>IF(A83="","",IF(H83="Completed","Complete",IF(H83="Cancelled","Cancelled",IF(G83="","No due date",IF(Methodology!$B$4&gt;G83,"Overdue",IF(G83-Methodology!$B$4&lt;=Methodology!$B$5,"Due soon","On track"))))))</f>
        <v/>
      </c>
      <c r="M83" s="36"/>
      <c r="N83" s="37" t="str">
        <f>IF(B83="","",IFERROR(INDEX('Risk Register'!$O$6:$O$105,MATCH(B83,'Risk Register'!$A$6:$A$105,0)),""))</f>
        <v/>
      </c>
      <c r="O83" s="37" t="str">
        <f t="shared" si="2"/>
        <v/>
      </c>
      <c r="P83" s="24"/>
    </row>
    <row r="84" spans="1:16" x14ac:dyDescent="0.35">
      <c r="A84" s="35"/>
      <c r="B84" s="35"/>
      <c r="C84" s="44" t="str">
        <f>IF(B84="","",IFERROR(INDEX('Risk Register'!$B$6:$B$105,MATCH(B84,'Risk Register'!$A$6:$A$105,0)),"Unknown Risk ID"))</f>
        <v/>
      </c>
      <c r="D84" s="24"/>
      <c r="E84" s="35"/>
      <c r="F84" s="46"/>
      <c r="G84" s="46"/>
      <c r="H84" s="36"/>
      <c r="I84" s="47"/>
      <c r="J84" s="46"/>
      <c r="K84" s="37" t="str">
        <f>IF(OR(G84="",H84="Completed",H84="Cancelled"),"",MAX(0,Methodology!$B$4-G84))</f>
        <v/>
      </c>
      <c r="L84" s="37" t="str">
        <f>IF(A84="","",IF(H84="Completed","Complete",IF(H84="Cancelled","Cancelled",IF(G84="","No due date",IF(Methodology!$B$4&gt;G84,"Overdue",IF(G84-Methodology!$B$4&lt;=Methodology!$B$5,"Due soon","On track"))))))</f>
        <v/>
      </c>
      <c r="M84" s="36"/>
      <c r="N84" s="37" t="str">
        <f>IF(B84="","",IFERROR(INDEX('Risk Register'!$O$6:$O$105,MATCH(B84,'Risk Register'!$A$6:$A$105,0)),""))</f>
        <v/>
      </c>
      <c r="O84" s="37" t="str">
        <f t="shared" si="2"/>
        <v/>
      </c>
      <c r="P84" s="24"/>
    </row>
    <row r="85" spans="1:16" x14ac:dyDescent="0.35">
      <c r="A85" s="35"/>
      <c r="B85" s="35"/>
      <c r="C85" s="44" t="str">
        <f>IF(B85="","",IFERROR(INDEX('Risk Register'!$B$6:$B$105,MATCH(B85,'Risk Register'!$A$6:$A$105,0)),"Unknown Risk ID"))</f>
        <v/>
      </c>
      <c r="D85" s="24"/>
      <c r="E85" s="35"/>
      <c r="F85" s="46"/>
      <c r="G85" s="46"/>
      <c r="H85" s="36"/>
      <c r="I85" s="47"/>
      <c r="J85" s="46"/>
      <c r="K85" s="37" t="str">
        <f>IF(OR(G85="",H85="Completed",H85="Cancelled"),"",MAX(0,Methodology!$B$4-G85))</f>
        <v/>
      </c>
      <c r="L85" s="37" t="str">
        <f>IF(A85="","",IF(H85="Completed","Complete",IF(H85="Cancelled","Cancelled",IF(G85="","No due date",IF(Methodology!$B$4&gt;G85,"Overdue",IF(G85-Methodology!$B$4&lt;=Methodology!$B$5,"Due soon","On track"))))))</f>
        <v/>
      </c>
      <c r="M85" s="36"/>
      <c r="N85" s="37" t="str">
        <f>IF(B85="","",IFERROR(INDEX('Risk Register'!$O$6:$O$105,MATCH(B85,'Risk Register'!$A$6:$A$105,0)),""))</f>
        <v/>
      </c>
      <c r="O85" s="37" t="str">
        <f t="shared" si="2"/>
        <v/>
      </c>
      <c r="P85" s="24"/>
    </row>
    <row r="86" spans="1:16" x14ac:dyDescent="0.35">
      <c r="A86" s="35"/>
      <c r="B86" s="35"/>
      <c r="C86" s="44" t="str">
        <f>IF(B86="","",IFERROR(INDEX('Risk Register'!$B$6:$B$105,MATCH(B86,'Risk Register'!$A$6:$A$105,0)),"Unknown Risk ID"))</f>
        <v/>
      </c>
      <c r="D86" s="24"/>
      <c r="E86" s="35"/>
      <c r="F86" s="46"/>
      <c r="G86" s="46"/>
      <c r="H86" s="36"/>
      <c r="I86" s="47"/>
      <c r="J86" s="46"/>
      <c r="K86" s="37" t="str">
        <f>IF(OR(G86="",H86="Completed",H86="Cancelled"),"",MAX(0,Methodology!$B$4-G86))</f>
        <v/>
      </c>
      <c r="L86" s="37" t="str">
        <f>IF(A86="","",IF(H86="Completed","Complete",IF(H86="Cancelled","Cancelled",IF(G86="","No due date",IF(Methodology!$B$4&gt;G86,"Overdue",IF(G86-Methodology!$B$4&lt;=Methodology!$B$5,"Due soon","On track"))))))</f>
        <v/>
      </c>
      <c r="M86" s="36"/>
      <c r="N86" s="37" t="str">
        <f>IF(B86="","",IFERROR(INDEX('Risk Register'!$O$6:$O$105,MATCH(B86,'Risk Register'!$A$6:$A$105,0)),""))</f>
        <v/>
      </c>
      <c r="O86" s="37" t="str">
        <f t="shared" si="2"/>
        <v/>
      </c>
      <c r="P86" s="24"/>
    </row>
    <row r="87" spans="1:16" x14ac:dyDescent="0.35">
      <c r="A87" s="35"/>
      <c r="B87" s="35"/>
      <c r="C87" s="44" t="str">
        <f>IF(B87="","",IFERROR(INDEX('Risk Register'!$B$6:$B$105,MATCH(B87,'Risk Register'!$A$6:$A$105,0)),"Unknown Risk ID"))</f>
        <v/>
      </c>
      <c r="D87" s="24"/>
      <c r="E87" s="35"/>
      <c r="F87" s="46"/>
      <c r="G87" s="46"/>
      <c r="H87" s="36"/>
      <c r="I87" s="47"/>
      <c r="J87" s="46"/>
      <c r="K87" s="37" t="str">
        <f>IF(OR(G87="",H87="Completed",H87="Cancelled"),"",MAX(0,Methodology!$B$4-G87))</f>
        <v/>
      </c>
      <c r="L87" s="37" t="str">
        <f>IF(A87="","",IF(H87="Completed","Complete",IF(H87="Cancelled","Cancelled",IF(G87="","No due date",IF(Methodology!$B$4&gt;G87,"Overdue",IF(G87-Methodology!$B$4&lt;=Methodology!$B$5,"Due soon","On track"))))))</f>
        <v/>
      </c>
      <c r="M87" s="36"/>
      <c r="N87" s="37" t="str">
        <f>IF(B87="","",IFERROR(INDEX('Risk Register'!$O$6:$O$105,MATCH(B87,'Risk Register'!$A$6:$A$105,0)),""))</f>
        <v/>
      </c>
      <c r="O87" s="37" t="str">
        <f t="shared" si="2"/>
        <v/>
      </c>
      <c r="P87" s="24"/>
    </row>
    <row r="88" spans="1:16" x14ac:dyDescent="0.35">
      <c r="A88" s="35"/>
      <c r="B88" s="35"/>
      <c r="C88" s="44" t="str">
        <f>IF(B88="","",IFERROR(INDEX('Risk Register'!$B$6:$B$105,MATCH(B88,'Risk Register'!$A$6:$A$105,0)),"Unknown Risk ID"))</f>
        <v/>
      </c>
      <c r="D88" s="24"/>
      <c r="E88" s="35"/>
      <c r="F88" s="46"/>
      <c r="G88" s="46"/>
      <c r="H88" s="36"/>
      <c r="I88" s="47"/>
      <c r="J88" s="46"/>
      <c r="K88" s="37" t="str">
        <f>IF(OR(G88="",H88="Completed",H88="Cancelled"),"",MAX(0,Methodology!$B$4-G88))</f>
        <v/>
      </c>
      <c r="L88" s="37" t="str">
        <f>IF(A88="","",IF(H88="Completed","Complete",IF(H88="Cancelled","Cancelled",IF(G88="","No due date",IF(Methodology!$B$4&gt;G88,"Overdue",IF(G88-Methodology!$B$4&lt;=Methodology!$B$5,"Due soon","On track"))))))</f>
        <v/>
      </c>
      <c r="M88" s="36"/>
      <c r="N88" s="37" t="str">
        <f>IF(B88="","",IFERROR(INDEX('Risk Register'!$O$6:$O$105,MATCH(B88,'Risk Register'!$A$6:$A$105,0)),""))</f>
        <v/>
      </c>
      <c r="O88" s="37" t="str">
        <f t="shared" si="2"/>
        <v/>
      </c>
      <c r="P88" s="24"/>
    </row>
    <row r="89" spans="1:16" x14ac:dyDescent="0.35">
      <c r="A89" s="35"/>
      <c r="B89" s="35"/>
      <c r="C89" s="44" t="str">
        <f>IF(B89="","",IFERROR(INDEX('Risk Register'!$B$6:$B$105,MATCH(B89,'Risk Register'!$A$6:$A$105,0)),"Unknown Risk ID"))</f>
        <v/>
      </c>
      <c r="D89" s="24"/>
      <c r="E89" s="35"/>
      <c r="F89" s="46"/>
      <c r="G89" s="46"/>
      <c r="H89" s="36"/>
      <c r="I89" s="47"/>
      <c r="J89" s="46"/>
      <c r="K89" s="37" t="str">
        <f>IF(OR(G89="",H89="Completed",H89="Cancelled"),"",MAX(0,Methodology!$B$4-G89))</f>
        <v/>
      </c>
      <c r="L89" s="37" t="str">
        <f>IF(A89="","",IF(H89="Completed","Complete",IF(H89="Cancelled","Cancelled",IF(G89="","No due date",IF(Methodology!$B$4&gt;G89,"Overdue",IF(G89-Methodology!$B$4&lt;=Methodology!$B$5,"Due soon","On track"))))))</f>
        <v/>
      </c>
      <c r="M89" s="36"/>
      <c r="N89" s="37" t="str">
        <f>IF(B89="","",IFERROR(INDEX('Risk Register'!$O$6:$O$105,MATCH(B89,'Risk Register'!$A$6:$A$105,0)),""))</f>
        <v/>
      </c>
      <c r="O89" s="37" t="str">
        <f t="shared" si="2"/>
        <v/>
      </c>
      <c r="P89" s="24"/>
    </row>
    <row r="90" spans="1:16" x14ac:dyDescent="0.35">
      <c r="A90" s="35"/>
      <c r="B90" s="35"/>
      <c r="C90" s="44" t="str">
        <f>IF(B90="","",IFERROR(INDEX('Risk Register'!$B$6:$B$105,MATCH(B90,'Risk Register'!$A$6:$A$105,0)),"Unknown Risk ID"))</f>
        <v/>
      </c>
      <c r="D90" s="24"/>
      <c r="E90" s="35"/>
      <c r="F90" s="46"/>
      <c r="G90" s="46"/>
      <c r="H90" s="36"/>
      <c r="I90" s="47"/>
      <c r="J90" s="46"/>
      <c r="K90" s="37" t="str">
        <f>IF(OR(G90="",H90="Completed",H90="Cancelled"),"",MAX(0,Methodology!$B$4-G90))</f>
        <v/>
      </c>
      <c r="L90" s="37" t="str">
        <f>IF(A90="","",IF(H90="Completed","Complete",IF(H90="Cancelled","Cancelled",IF(G90="","No due date",IF(Methodology!$B$4&gt;G90,"Overdue",IF(G90-Methodology!$B$4&lt;=Methodology!$B$5,"Due soon","On track"))))))</f>
        <v/>
      </c>
      <c r="M90" s="36"/>
      <c r="N90" s="37" t="str">
        <f>IF(B90="","",IFERROR(INDEX('Risk Register'!$O$6:$O$105,MATCH(B90,'Risk Register'!$A$6:$A$105,0)),""))</f>
        <v/>
      </c>
      <c r="O90" s="37" t="str">
        <f t="shared" si="2"/>
        <v/>
      </c>
      <c r="P90" s="24"/>
    </row>
    <row r="91" spans="1:16" x14ac:dyDescent="0.35">
      <c r="A91" s="35"/>
      <c r="B91" s="35"/>
      <c r="C91" s="44" t="str">
        <f>IF(B91="","",IFERROR(INDEX('Risk Register'!$B$6:$B$105,MATCH(B91,'Risk Register'!$A$6:$A$105,0)),"Unknown Risk ID"))</f>
        <v/>
      </c>
      <c r="D91" s="24"/>
      <c r="E91" s="35"/>
      <c r="F91" s="46"/>
      <c r="G91" s="46"/>
      <c r="H91" s="36"/>
      <c r="I91" s="47"/>
      <c r="J91" s="46"/>
      <c r="K91" s="37" t="str">
        <f>IF(OR(G91="",H91="Completed",H91="Cancelled"),"",MAX(0,Methodology!$B$4-G91))</f>
        <v/>
      </c>
      <c r="L91" s="37" t="str">
        <f>IF(A91="","",IF(H91="Completed","Complete",IF(H91="Cancelled","Cancelled",IF(G91="","No due date",IF(Methodology!$B$4&gt;G91,"Overdue",IF(G91-Methodology!$B$4&lt;=Methodology!$B$5,"Due soon","On track"))))))</f>
        <v/>
      </c>
      <c r="M91" s="36"/>
      <c r="N91" s="37" t="str">
        <f>IF(B91="","",IFERROR(INDEX('Risk Register'!$O$6:$O$105,MATCH(B91,'Risk Register'!$A$6:$A$105,0)),""))</f>
        <v/>
      </c>
      <c r="O91" s="37" t="str">
        <f t="shared" si="2"/>
        <v/>
      </c>
      <c r="P91" s="24"/>
    </row>
    <row r="92" spans="1:16" x14ac:dyDescent="0.35">
      <c r="A92" s="35"/>
      <c r="B92" s="35"/>
      <c r="C92" s="44" t="str">
        <f>IF(B92="","",IFERROR(INDEX('Risk Register'!$B$6:$B$105,MATCH(B92,'Risk Register'!$A$6:$A$105,0)),"Unknown Risk ID"))</f>
        <v/>
      </c>
      <c r="D92" s="24"/>
      <c r="E92" s="35"/>
      <c r="F92" s="46"/>
      <c r="G92" s="46"/>
      <c r="H92" s="36"/>
      <c r="I92" s="47"/>
      <c r="J92" s="46"/>
      <c r="K92" s="37" t="str">
        <f>IF(OR(G92="",H92="Completed",H92="Cancelled"),"",MAX(0,Methodology!$B$4-G92))</f>
        <v/>
      </c>
      <c r="L92" s="37" t="str">
        <f>IF(A92="","",IF(H92="Completed","Complete",IF(H92="Cancelled","Cancelled",IF(G92="","No due date",IF(Methodology!$B$4&gt;G92,"Overdue",IF(G92-Methodology!$B$4&lt;=Methodology!$B$5,"Due soon","On track"))))))</f>
        <v/>
      </c>
      <c r="M92" s="36"/>
      <c r="N92" s="37" t="str">
        <f>IF(B92="","",IFERROR(INDEX('Risk Register'!$O$6:$O$105,MATCH(B92,'Risk Register'!$A$6:$A$105,0)),""))</f>
        <v/>
      </c>
      <c r="O92" s="37" t="str">
        <f t="shared" si="2"/>
        <v/>
      </c>
      <c r="P92" s="24"/>
    </row>
    <row r="93" spans="1:16" x14ac:dyDescent="0.35">
      <c r="A93" s="35"/>
      <c r="B93" s="35"/>
      <c r="C93" s="44" t="str">
        <f>IF(B93="","",IFERROR(INDEX('Risk Register'!$B$6:$B$105,MATCH(B93,'Risk Register'!$A$6:$A$105,0)),"Unknown Risk ID"))</f>
        <v/>
      </c>
      <c r="D93" s="24"/>
      <c r="E93" s="35"/>
      <c r="F93" s="46"/>
      <c r="G93" s="46"/>
      <c r="H93" s="36"/>
      <c r="I93" s="47"/>
      <c r="J93" s="46"/>
      <c r="K93" s="37" t="str">
        <f>IF(OR(G93="",H93="Completed",H93="Cancelled"),"",MAX(0,Methodology!$B$4-G93))</f>
        <v/>
      </c>
      <c r="L93" s="37" t="str">
        <f>IF(A93="","",IF(H93="Completed","Complete",IF(H93="Cancelled","Cancelled",IF(G93="","No due date",IF(Methodology!$B$4&gt;G93,"Overdue",IF(G93-Methodology!$B$4&lt;=Methodology!$B$5,"Due soon","On track"))))))</f>
        <v/>
      </c>
      <c r="M93" s="36"/>
      <c r="N93" s="37" t="str">
        <f>IF(B93="","",IFERROR(INDEX('Risk Register'!$O$6:$O$105,MATCH(B93,'Risk Register'!$A$6:$A$105,0)),""))</f>
        <v/>
      </c>
      <c r="O93" s="37" t="str">
        <f t="shared" si="2"/>
        <v/>
      </c>
      <c r="P93" s="24"/>
    </row>
    <row r="94" spans="1:16" x14ac:dyDescent="0.35">
      <c r="A94" s="35"/>
      <c r="B94" s="35"/>
      <c r="C94" s="44" t="str">
        <f>IF(B94="","",IFERROR(INDEX('Risk Register'!$B$6:$B$105,MATCH(B94,'Risk Register'!$A$6:$A$105,0)),"Unknown Risk ID"))</f>
        <v/>
      </c>
      <c r="D94" s="24"/>
      <c r="E94" s="35"/>
      <c r="F94" s="46"/>
      <c r="G94" s="46"/>
      <c r="H94" s="36"/>
      <c r="I94" s="47"/>
      <c r="J94" s="46"/>
      <c r="K94" s="37" t="str">
        <f>IF(OR(G94="",H94="Completed",H94="Cancelled"),"",MAX(0,Methodology!$B$4-G94))</f>
        <v/>
      </c>
      <c r="L94" s="37" t="str">
        <f>IF(A94="","",IF(H94="Completed","Complete",IF(H94="Cancelled","Cancelled",IF(G94="","No due date",IF(Methodology!$B$4&gt;G94,"Overdue",IF(G94-Methodology!$B$4&lt;=Methodology!$B$5,"Due soon","On track"))))))</f>
        <v/>
      </c>
      <c r="M94" s="36"/>
      <c r="N94" s="37" t="str">
        <f>IF(B94="","",IFERROR(INDEX('Risk Register'!$O$6:$O$105,MATCH(B94,'Risk Register'!$A$6:$A$105,0)),""))</f>
        <v/>
      </c>
      <c r="O94" s="37" t="str">
        <f t="shared" si="2"/>
        <v/>
      </c>
      <c r="P94" s="24"/>
    </row>
    <row r="95" spans="1:16" x14ac:dyDescent="0.35">
      <c r="A95" s="35"/>
      <c r="B95" s="35"/>
      <c r="C95" s="44" t="str">
        <f>IF(B95="","",IFERROR(INDEX('Risk Register'!$B$6:$B$105,MATCH(B95,'Risk Register'!$A$6:$A$105,0)),"Unknown Risk ID"))</f>
        <v/>
      </c>
      <c r="D95" s="24"/>
      <c r="E95" s="35"/>
      <c r="F95" s="46"/>
      <c r="G95" s="46"/>
      <c r="H95" s="36"/>
      <c r="I95" s="47"/>
      <c r="J95" s="46"/>
      <c r="K95" s="37" t="str">
        <f>IF(OR(G95="",H95="Completed",H95="Cancelled"),"",MAX(0,Methodology!$B$4-G95))</f>
        <v/>
      </c>
      <c r="L95" s="37" t="str">
        <f>IF(A95="","",IF(H95="Completed","Complete",IF(H95="Cancelled","Cancelled",IF(G95="","No due date",IF(Methodology!$B$4&gt;G95,"Overdue",IF(G95-Methodology!$B$4&lt;=Methodology!$B$5,"Due soon","On track"))))))</f>
        <v/>
      </c>
      <c r="M95" s="36"/>
      <c r="N95" s="37" t="str">
        <f>IF(B95="","",IFERROR(INDEX('Risk Register'!$O$6:$O$105,MATCH(B95,'Risk Register'!$A$6:$A$105,0)),""))</f>
        <v/>
      </c>
      <c r="O95" s="37" t="str">
        <f t="shared" si="2"/>
        <v/>
      </c>
      <c r="P95" s="24"/>
    </row>
    <row r="96" spans="1:16" x14ac:dyDescent="0.35">
      <c r="A96" s="35"/>
      <c r="B96" s="35"/>
      <c r="C96" s="44" t="str">
        <f>IF(B96="","",IFERROR(INDEX('Risk Register'!$B$6:$B$105,MATCH(B96,'Risk Register'!$A$6:$A$105,0)),"Unknown Risk ID"))</f>
        <v/>
      </c>
      <c r="D96" s="24"/>
      <c r="E96" s="35"/>
      <c r="F96" s="46"/>
      <c r="G96" s="46"/>
      <c r="H96" s="36"/>
      <c r="I96" s="47"/>
      <c r="J96" s="46"/>
      <c r="K96" s="37" t="str">
        <f>IF(OR(G96="",H96="Completed",H96="Cancelled"),"",MAX(0,Methodology!$B$4-G96))</f>
        <v/>
      </c>
      <c r="L96" s="37" t="str">
        <f>IF(A96="","",IF(H96="Completed","Complete",IF(H96="Cancelled","Cancelled",IF(G96="","No due date",IF(Methodology!$B$4&gt;G96,"Overdue",IF(G96-Methodology!$B$4&lt;=Methodology!$B$5,"Due soon","On track"))))))</f>
        <v/>
      </c>
      <c r="M96" s="36"/>
      <c r="N96" s="37" t="str">
        <f>IF(B96="","",IFERROR(INDEX('Risk Register'!$O$6:$O$105,MATCH(B96,'Risk Register'!$A$6:$A$105,0)),""))</f>
        <v/>
      </c>
      <c r="O96" s="37" t="str">
        <f t="shared" si="2"/>
        <v/>
      </c>
      <c r="P96" s="24"/>
    </row>
    <row r="97" spans="1:16" x14ac:dyDescent="0.35">
      <c r="A97" s="35"/>
      <c r="B97" s="35"/>
      <c r="C97" s="44" t="str">
        <f>IF(B97="","",IFERROR(INDEX('Risk Register'!$B$6:$B$105,MATCH(B97,'Risk Register'!$A$6:$A$105,0)),"Unknown Risk ID"))</f>
        <v/>
      </c>
      <c r="D97" s="24"/>
      <c r="E97" s="35"/>
      <c r="F97" s="46"/>
      <c r="G97" s="46"/>
      <c r="H97" s="36"/>
      <c r="I97" s="47"/>
      <c r="J97" s="46"/>
      <c r="K97" s="37" t="str">
        <f>IF(OR(G97="",H97="Completed",H97="Cancelled"),"",MAX(0,Methodology!$B$4-G97))</f>
        <v/>
      </c>
      <c r="L97" s="37" t="str">
        <f>IF(A97="","",IF(H97="Completed","Complete",IF(H97="Cancelled","Cancelled",IF(G97="","No due date",IF(Methodology!$B$4&gt;G97,"Overdue",IF(G97-Methodology!$B$4&lt;=Methodology!$B$5,"Due soon","On track"))))))</f>
        <v/>
      </c>
      <c r="M97" s="36"/>
      <c r="N97" s="37" t="str">
        <f>IF(B97="","",IFERROR(INDEX('Risk Register'!$O$6:$O$105,MATCH(B97,'Risk Register'!$A$6:$A$105,0)),""))</f>
        <v/>
      </c>
      <c r="O97" s="37" t="str">
        <f t="shared" si="2"/>
        <v/>
      </c>
      <c r="P97" s="24"/>
    </row>
    <row r="98" spans="1:16" x14ac:dyDescent="0.35">
      <c r="A98" s="35"/>
      <c r="B98" s="35"/>
      <c r="C98" s="44" t="str">
        <f>IF(B98="","",IFERROR(INDEX('Risk Register'!$B$6:$B$105,MATCH(B98,'Risk Register'!$A$6:$A$105,0)),"Unknown Risk ID"))</f>
        <v/>
      </c>
      <c r="D98" s="24"/>
      <c r="E98" s="35"/>
      <c r="F98" s="46"/>
      <c r="G98" s="46"/>
      <c r="H98" s="36"/>
      <c r="I98" s="47"/>
      <c r="J98" s="46"/>
      <c r="K98" s="37" t="str">
        <f>IF(OR(G98="",H98="Completed",H98="Cancelled"),"",MAX(0,Methodology!$B$4-G98))</f>
        <v/>
      </c>
      <c r="L98" s="37" t="str">
        <f>IF(A98="","",IF(H98="Completed","Complete",IF(H98="Cancelled","Cancelled",IF(G98="","No due date",IF(Methodology!$B$4&gt;G98,"Overdue",IF(G98-Methodology!$B$4&lt;=Methodology!$B$5,"Due soon","On track"))))))</f>
        <v/>
      </c>
      <c r="M98" s="36"/>
      <c r="N98" s="37" t="str">
        <f>IF(B98="","",IFERROR(INDEX('Risk Register'!$O$6:$O$105,MATCH(B98,'Risk Register'!$A$6:$A$105,0)),""))</f>
        <v/>
      </c>
      <c r="O98" s="37" t="str">
        <f t="shared" si="2"/>
        <v/>
      </c>
      <c r="P98" s="24"/>
    </row>
    <row r="99" spans="1:16" x14ac:dyDescent="0.35">
      <c r="A99" s="35"/>
      <c r="B99" s="35"/>
      <c r="C99" s="44" t="str">
        <f>IF(B99="","",IFERROR(INDEX('Risk Register'!$B$6:$B$105,MATCH(B99,'Risk Register'!$A$6:$A$105,0)),"Unknown Risk ID"))</f>
        <v/>
      </c>
      <c r="D99" s="24"/>
      <c r="E99" s="35"/>
      <c r="F99" s="46"/>
      <c r="G99" s="46"/>
      <c r="H99" s="36"/>
      <c r="I99" s="47"/>
      <c r="J99" s="46"/>
      <c r="K99" s="37" t="str">
        <f>IF(OR(G99="",H99="Completed",H99="Cancelled"),"",MAX(0,Methodology!$B$4-G99))</f>
        <v/>
      </c>
      <c r="L99" s="37" t="str">
        <f>IF(A99="","",IF(H99="Completed","Complete",IF(H99="Cancelled","Cancelled",IF(G99="","No due date",IF(Methodology!$B$4&gt;G99,"Overdue",IF(G99-Methodology!$B$4&lt;=Methodology!$B$5,"Due soon","On track"))))))</f>
        <v/>
      </c>
      <c r="M99" s="36"/>
      <c r="N99" s="37" t="str">
        <f>IF(B99="","",IFERROR(INDEX('Risk Register'!$O$6:$O$105,MATCH(B99,'Risk Register'!$A$6:$A$105,0)),""))</f>
        <v/>
      </c>
      <c r="O99" s="37" t="str">
        <f t="shared" si="2"/>
        <v/>
      </c>
      <c r="P99" s="24"/>
    </row>
    <row r="100" spans="1:16" x14ac:dyDescent="0.35">
      <c r="A100" s="35"/>
      <c r="B100" s="35"/>
      <c r="C100" s="44" t="str">
        <f>IF(B100="","",IFERROR(INDEX('Risk Register'!$B$6:$B$105,MATCH(B100,'Risk Register'!$A$6:$A$105,0)),"Unknown Risk ID"))</f>
        <v/>
      </c>
      <c r="D100" s="24"/>
      <c r="E100" s="35"/>
      <c r="F100" s="46"/>
      <c r="G100" s="46"/>
      <c r="H100" s="36"/>
      <c r="I100" s="47"/>
      <c r="J100" s="46"/>
      <c r="K100" s="37" t="str">
        <f>IF(OR(G100="",H100="Completed",H100="Cancelled"),"",MAX(0,Methodology!$B$4-G100))</f>
        <v/>
      </c>
      <c r="L100" s="37" t="str">
        <f>IF(A100="","",IF(H100="Completed","Complete",IF(H100="Cancelled","Cancelled",IF(G100="","No due date",IF(Methodology!$B$4&gt;G100,"Overdue",IF(G100-Methodology!$B$4&lt;=Methodology!$B$5,"Due soon","On track"))))))</f>
        <v/>
      </c>
      <c r="M100" s="36"/>
      <c r="N100" s="37" t="str">
        <f>IF(B100="","",IFERROR(INDEX('Risk Register'!$O$6:$O$105,MATCH(B100,'Risk Register'!$A$6:$A$105,0)),""))</f>
        <v/>
      </c>
      <c r="O100" s="37" t="str">
        <f t="shared" si="2"/>
        <v/>
      </c>
      <c r="P100" s="24"/>
    </row>
    <row r="101" spans="1:16" x14ac:dyDescent="0.35">
      <c r="A101" s="35"/>
      <c r="B101" s="35"/>
      <c r="C101" s="44" t="str">
        <f>IF(B101="","",IFERROR(INDEX('Risk Register'!$B$6:$B$105,MATCH(B101,'Risk Register'!$A$6:$A$105,0)),"Unknown Risk ID"))</f>
        <v/>
      </c>
      <c r="D101" s="24"/>
      <c r="E101" s="35"/>
      <c r="F101" s="46"/>
      <c r="G101" s="46"/>
      <c r="H101" s="36"/>
      <c r="I101" s="47"/>
      <c r="J101" s="46"/>
      <c r="K101" s="37" t="str">
        <f>IF(OR(G101="",H101="Completed",H101="Cancelled"),"",MAX(0,Methodology!$B$4-G101))</f>
        <v/>
      </c>
      <c r="L101" s="37" t="str">
        <f>IF(A101="","",IF(H101="Completed","Complete",IF(H101="Cancelled","Cancelled",IF(G101="","No due date",IF(Methodology!$B$4&gt;G101,"Overdue",IF(G101-Methodology!$B$4&lt;=Methodology!$B$5,"Due soon","On track"))))))</f>
        <v/>
      </c>
      <c r="M101" s="36"/>
      <c r="N101" s="37" t="str">
        <f>IF(B101="","",IFERROR(INDEX('Risk Register'!$O$6:$O$105,MATCH(B101,'Risk Register'!$A$6:$A$105,0)),""))</f>
        <v/>
      </c>
      <c r="O101" s="37" t="str">
        <f t="shared" si="2"/>
        <v/>
      </c>
      <c r="P101" s="24"/>
    </row>
    <row r="102" spans="1:16" x14ac:dyDescent="0.35">
      <c r="A102" s="35"/>
      <c r="B102" s="35"/>
      <c r="C102" s="44" t="str">
        <f>IF(B102="","",IFERROR(INDEX('Risk Register'!$B$6:$B$105,MATCH(B102,'Risk Register'!$A$6:$A$105,0)),"Unknown Risk ID"))</f>
        <v/>
      </c>
      <c r="D102" s="24"/>
      <c r="E102" s="35"/>
      <c r="F102" s="46"/>
      <c r="G102" s="46"/>
      <c r="H102" s="36"/>
      <c r="I102" s="47"/>
      <c r="J102" s="46"/>
      <c r="K102" s="37" t="str">
        <f>IF(OR(G102="",H102="Completed",H102="Cancelled"),"",MAX(0,Methodology!$B$4-G102))</f>
        <v/>
      </c>
      <c r="L102" s="37" t="str">
        <f>IF(A102="","",IF(H102="Completed","Complete",IF(H102="Cancelled","Cancelled",IF(G102="","No due date",IF(Methodology!$B$4&gt;G102,"Overdue",IF(G102-Methodology!$B$4&lt;=Methodology!$B$5,"Due soon","On track"))))))</f>
        <v/>
      </c>
      <c r="M102" s="36"/>
      <c r="N102" s="37" t="str">
        <f>IF(B102="","",IFERROR(INDEX('Risk Register'!$O$6:$O$105,MATCH(B102,'Risk Register'!$A$6:$A$105,0)),""))</f>
        <v/>
      </c>
      <c r="O102" s="37" t="str">
        <f t="shared" ref="O102:O105" si="3">IF(OR(M102="",N102=""),"",N102-M102)</f>
        <v/>
      </c>
      <c r="P102" s="24"/>
    </row>
    <row r="103" spans="1:16" x14ac:dyDescent="0.35">
      <c r="A103" s="35"/>
      <c r="B103" s="35"/>
      <c r="C103" s="44" t="str">
        <f>IF(B103="","",IFERROR(INDEX('Risk Register'!$B$6:$B$105,MATCH(B103,'Risk Register'!$A$6:$A$105,0)),"Unknown Risk ID"))</f>
        <v/>
      </c>
      <c r="D103" s="24"/>
      <c r="E103" s="35"/>
      <c r="F103" s="46"/>
      <c r="G103" s="46"/>
      <c r="H103" s="36"/>
      <c r="I103" s="47"/>
      <c r="J103" s="46"/>
      <c r="K103" s="37" t="str">
        <f>IF(OR(G103="",H103="Completed",H103="Cancelled"),"",MAX(0,Methodology!$B$4-G103))</f>
        <v/>
      </c>
      <c r="L103" s="37" t="str">
        <f>IF(A103="","",IF(H103="Completed","Complete",IF(H103="Cancelled","Cancelled",IF(G103="","No due date",IF(Methodology!$B$4&gt;G103,"Overdue",IF(G103-Methodology!$B$4&lt;=Methodology!$B$5,"Due soon","On track"))))))</f>
        <v/>
      </c>
      <c r="M103" s="36"/>
      <c r="N103" s="37" t="str">
        <f>IF(B103="","",IFERROR(INDEX('Risk Register'!$O$6:$O$105,MATCH(B103,'Risk Register'!$A$6:$A$105,0)),""))</f>
        <v/>
      </c>
      <c r="O103" s="37" t="str">
        <f t="shared" si="3"/>
        <v/>
      </c>
      <c r="P103" s="24"/>
    </row>
    <row r="104" spans="1:16" x14ac:dyDescent="0.35">
      <c r="A104" s="35"/>
      <c r="B104" s="35"/>
      <c r="C104" s="44" t="str">
        <f>IF(B104="","",IFERROR(INDEX('Risk Register'!$B$6:$B$105,MATCH(B104,'Risk Register'!$A$6:$A$105,0)),"Unknown Risk ID"))</f>
        <v/>
      </c>
      <c r="D104" s="24"/>
      <c r="E104" s="35"/>
      <c r="F104" s="46"/>
      <c r="G104" s="46"/>
      <c r="H104" s="36"/>
      <c r="I104" s="47"/>
      <c r="J104" s="46"/>
      <c r="K104" s="37" t="str">
        <f>IF(OR(G104="",H104="Completed",H104="Cancelled"),"",MAX(0,Methodology!$B$4-G104))</f>
        <v/>
      </c>
      <c r="L104" s="37" t="str">
        <f>IF(A104="","",IF(H104="Completed","Complete",IF(H104="Cancelled","Cancelled",IF(G104="","No due date",IF(Methodology!$B$4&gt;G104,"Overdue",IF(G104-Methodology!$B$4&lt;=Methodology!$B$5,"Due soon","On track"))))))</f>
        <v/>
      </c>
      <c r="M104" s="36"/>
      <c r="N104" s="37" t="str">
        <f>IF(B104="","",IFERROR(INDEX('Risk Register'!$O$6:$O$105,MATCH(B104,'Risk Register'!$A$6:$A$105,0)),""))</f>
        <v/>
      </c>
      <c r="O104" s="37" t="str">
        <f t="shared" si="3"/>
        <v/>
      </c>
      <c r="P104" s="24"/>
    </row>
    <row r="105" spans="1:16" x14ac:dyDescent="0.35">
      <c r="A105" s="35"/>
      <c r="B105" s="35"/>
      <c r="C105" s="44" t="str">
        <f>IF(B105="","",IFERROR(INDEX('Risk Register'!$B$6:$B$105,MATCH(B105,'Risk Register'!$A$6:$A$105,0)),"Unknown Risk ID"))</f>
        <v/>
      </c>
      <c r="D105" s="24"/>
      <c r="E105" s="35"/>
      <c r="F105" s="46"/>
      <c r="G105" s="46"/>
      <c r="H105" s="36"/>
      <c r="I105" s="47"/>
      <c r="J105" s="46"/>
      <c r="K105" s="37" t="str">
        <f>IF(OR(G105="",H105="Completed",H105="Cancelled"),"",MAX(0,Methodology!$B$4-G105))</f>
        <v/>
      </c>
      <c r="L105" s="37" t="str">
        <f>IF(A105="","",IF(H105="Completed","Complete",IF(H105="Cancelled","Cancelled",IF(G105="","No due date",IF(Methodology!$B$4&gt;G105,"Overdue",IF(G105-Methodology!$B$4&lt;=Methodology!$B$5,"Due soon","On track"))))))</f>
        <v/>
      </c>
      <c r="M105" s="36"/>
      <c r="N105" s="37" t="str">
        <f>IF(B105="","",IFERROR(INDEX('Risk Register'!$O$6:$O$105,MATCH(B105,'Risk Register'!$A$6:$A$105,0)),""))</f>
        <v/>
      </c>
      <c r="O105" s="37" t="str">
        <f t="shared" si="3"/>
        <v/>
      </c>
      <c r="P105" s="24"/>
    </row>
  </sheetData>
  <autoFilter ref="A5:P105" xr:uid="{00000000-0001-0000-0600-000000000000}"/>
  <conditionalFormatting sqref="C6:C105">
    <cfRule type="expression" dxfId="57" priority="5">
      <formula>C6="Unknown Risk ID"</formula>
    </cfRule>
  </conditionalFormatting>
  <conditionalFormatting sqref="L6:L105">
    <cfRule type="expression" dxfId="56" priority="2">
      <formula>L6="Overdue"</formula>
    </cfRule>
    <cfRule type="expression" dxfId="55" priority="3">
      <formula>L6="Due soon"</formula>
    </cfRule>
    <cfRule type="expression" dxfId="54" priority="4">
      <formula>L6="Complete"</formula>
    </cfRule>
  </conditionalFormatting>
  <dataValidations count="2">
    <dataValidation type="list" allowBlank="1" showErrorMessage="1" sqref="H6:H105" xr:uid="{00000000-0002-0000-0600-000001000000}">
      <formula1>"Not started,In progress,Blocked,Completed,Cancelled"</formula1>
      <formula2>0</formula2>
    </dataValidation>
    <dataValidation type="decimal" allowBlank="1" showErrorMessage="1" error="Enter 0%-100%" sqref="I6:I105" xr:uid="{00000000-0002-0000-0600-000002000000}">
      <formula1>0</formula1>
      <formula2>1</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r:uid="{00000000-0002-0000-0600-000000000000}">
          <x14:formula1>
            <xm:f>'Risk Register'!$A$6:$A$105</xm:f>
          </x14:formula1>
          <x14:formula2>
            <xm:f>0</xm:f>
          </x14:formula2>
          <xm:sqref>B6:B105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548235"/>
  </sheetPr>
  <dimension ref="A1:T105"/>
  <sheetViews>
    <sheetView showGridLines="0" workbookViewId="0">
      <pane xSplit="3" ySplit="5" topLeftCell="R6" activePane="bottomRight" state="frozen"/>
      <selection pane="topRight"/>
      <selection pane="bottomLeft"/>
      <selection pane="bottomRight" activeCell="T5" sqref="T5:T105"/>
    </sheetView>
  </sheetViews>
  <sheetFormatPr defaultColWidth="8.6328125" defaultRowHeight="14.5" x14ac:dyDescent="0.35"/>
  <cols>
    <col min="1" max="1" width="11" customWidth="1"/>
    <col min="2" max="2" width="9" customWidth="1"/>
    <col min="3" max="3" width="26" customWidth="1"/>
    <col min="4" max="4" width="22" customWidth="1"/>
    <col min="5" max="5" width="10" customWidth="1"/>
    <col min="6" max="6" width="16" customWidth="1"/>
    <col min="7" max="8" width="34" customWidth="1"/>
    <col min="9" max="9" width="11" customWidth="1"/>
    <col min="10" max="10" width="18" customWidth="1"/>
    <col min="11" max="11" width="22" customWidth="1"/>
    <col min="12" max="13" width="13" customWidth="1"/>
    <col min="14" max="14" width="24" customWidth="1"/>
    <col min="15" max="15" width="20" customWidth="1"/>
    <col min="16" max="16" width="18" customWidth="1"/>
    <col min="17" max="17" width="9" customWidth="1"/>
    <col min="18" max="18" width="36" customWidth="1"/>
    <col min="19" max="19" width="22" customWidth="1"/>
    <col min="20" max="20" width="32.6328125" customWidth="1"/>
  </cols>
  <sheetData>
    <row r="1" spans="1:20" ht="20" x14ac:dyDescent="0.4">
      <c r="A1" s="2" t="s">
        <v>350</v>
      </c>
    </row>
    <row r="2" spans="1:20" x14ac:dyDescent="0.35">
      <c r="A2" s="1" t="s">
        <v>351</v>
      </c>
    </row>
    <row r="3" spans="1:20" ht="38" customHeight="1" x14ac:dyDescent="0.35">
      <c r="A3" s="72" t="s">
        <v>829</v>
      </c>
      <c r="B3" s="72"/>
      <c r="C3" s="72"/>
      <c r="D3" s="72"/>
      <c r="E3" s="72"/>
      <c r="F3" s="72"/>
      <c r="G3" s="72"/>
      <c r="H3" s="72"/>
      <c r="I3" s="72"/>
      <c r="J3" s="72"/>
      <c r="K3" s="72"/>
      <c r="L3" s="72"/>
      <c r="M3" s="72"/>
      <c r="N3" s="72"/>
      <c r="O3" s="72"/>
      <c r="P3" s="72"/>
      <c r="Q3" s="72"/>
      <c r="R3" s="72"/>
      <c r="S3" s="72"/>
      <c r="T3" s="72"/>
    </row>
    <row r="5" spans="1:20" ht="57.75" customHeight="1" x14ac:dyDescent="0.35">
      <c r="A5" s="16" t="s">
        <v>352</v>
      </c>
      <c r="B5" s="16" t="s">
        <v>224</v>
      </c>
      <c r="C5" s="16" t="s">
        <v>225</v>
      </c>
      <c r="D5" s="16" t="s">
        <v>55</v>
      </c>
      <c r="E5" s="16" t="s">
        <v>353</v>
      </c>
      <c r="F5" s="16" t="s">
        <v>354</v>
      </c>
      <c r="G5" s="16" t="s">
        <v>355</v>
      </c>
      <c r="H5" s="16" t="s">
        <v>356</v>
      </c>
      <c r="I5" s="16" t="s">
        <v>357</v>
      </c>
      <c r="J5" s="16" t="s">
        <v>358</v>
      </c>
      <c r="K5" s="16" t="s">
        <v>359</v>
      </c>
      <c r="L5" s="16" t="s">
        <v>360</v>
      </c>
      <c r="M5" s="16" t="s">
        <v>361</v>
      </c>
      <c r="N5" s="16" t="s">
        <v>362</v>
      </c>
      <c r="O5" s="16" t="s">
        <v>363</v>
      </c>
      <c r="P5" s="16" t="s">
        <v>364</v>
      </c>
      <c r="Q5" s="16" t="s">
        <v>316</v>
      </c>
      <c r="R5" s="16" t="s">
        <v>365</v>
      </c>
      <c r="S5" t="s">
        <v>765</v>
      </c>
      <c r="T5" t="s">
        <v>828</v>
      </c>
    </row>
    <row r="6" spans="1:20" ht="25" x14ac:dyDescent="0.35">
      <c r="A6" s="35" t="s">
        <v>366</v>
      </c>
      <c r="B6" s="35" t="s">
        <v>264</v>
      </c>
      <c r="C6" s="44" t="str">
        <f>IF(B6="","",IFERROR(INDEX('Risk Register'!$B$6:$B$105,MATCH(B6,'Risk Register'!$A$6:$A$105,0)),"Unknown Risk ID"))</f>
        <v>SaaS provider data breach</v>
      </c>
      <c r="D6" s="38" t="str">
        <f>IF(B6="","",IFERROR(INDEX('Risk Register'!$D$6:$D$105,MATCH(B6,'Risk Register'!$A$6:$A$105,0)),""))</f>
        <v>Third-Party</v>
      </c>
      <c r="E6" s="37">
        <f ca="1">IF(B6="","",IFERROR(INDEX('Risk Register'!$O$6:$O$105,MATCH(B6,'Risk Register'!$A$6:$A$105,0)),""))</f>
        <v>16</v>
      </c>
      <c r="F6" s="38" t="str">
        <f ca="1">IF(B6="","",IFERROR(INDEX('Risk Register'!$U$6:$U$105,MATCH(B6,'Risk Register'!$A$6:$A$105,0)),""))</f>
        <v>Tolerance breach</v>
      </c>
      <c r="G6" s="24" t="s">
        <v>367</v>
      </c>
      <c r="H6" s="24" t="s">
        <v>368</v>
      </c>
      <c r="I6" s="35" t="s">
        <v>369</v>
      </c>
      <c r="J6" s="35" t="s">
        <v>296</v>
      </c>
      <c r="K6" s="35" t="s">
        <v>156</v>
      </c>
      <c r="L6" s="46">
        <v>46113</v>
      </c>
      <c r="M6" s="46">
        <v>46295</v>
      </c>
      <c r="N6" s="38" t="str">
        <f ca="1">IF(F6="","",IFERROR(INDEX(Methodology!$B$48:$B$50,MATCH(F6,Methodology!$A$48:$A$50,0)),""))</f>
        <v>Executive Committee / Board</v>
      </c>
      <c r="O6" s="38" t="str">
        <f ca="1">IF(OR(I6&lt;&gt;"Approved",F6=""),"",IF(F6="Within appetite","Not in breach",IF(K6="","Authority level not set",IF(IFERROR(MATCH(K6,Methodology!$B$49:$B$50,0),0)&gt;=IFERROR(MATCH(N6,Methodology!$B$49:$B$50,0),99),"OK","Insufficient authority"))))</f>
        <v>Insufficient authority</v>
      </c>
      <c r="P6" s="38" t="str">
        <f ca="1">IF(A6="","",IF(I6&lt;&gt;"Approved",IF(I6="","No decision",I6),IF(M6="","Approved - no expiry",IF(M6&lt;Methodology!$B$4,"Expired",IF(M6-Methodology!$B$4&lt;=Methodology!$B$5,"Expiring soon","Active")))))</f>
        <v>Expired</v>
      </c>
      <c r="Q6" s="37">
        <f ca="1">IF(OR(M6="",I6&lt;&gt;"Approved"),"",M6-Methodology!$B$4)</f>
        <v>-23</v>
      </c>
      <c r="R6" s="44" t="str">
        <f ca="1">IF(A6="","",IF(AND(I6="Approved",F6="Within appetite"),"Risk now within appetite: acceptance may be unnecessary",IF(AND(I6="Approved",L6&lt;&gt;"",M6&lt;&gt;"",M6-L6&gt;Methodology!$B$6),"Exceeds maximum acceptance period",IF(AND(I6="Approved",J6=""),"Approver not named",""))))</f>
        <v/>
      </c>
      <c r="S6">
        <f ca="1">IF(A6="",0,IF(O6&lt;&gt;"Insufficient authority",0,IF(COUNTIFS('Exception Register'!$B$6:$B$45,Checks!$A$11,'Exception Register'!$C$6:$C$45,A6&amp;" ("&amp;B6&amp;")",'Exception Register'!$J$6:$J$45,"Valid")&gt;0,1,0)))</f>
        <v>1</v>
      </c>
      <c r="T6" t="str">
        <f ca="1">IF(A6="","",IF(COUNTIF($A$6:$A$105,A6)&gt;1,"Duplicate Acceptance ID",IF(I6&lt;&gt;"Approved","Not approved",IF(OR(B6="",COUNTIF('Risk Register'!$A$6:$A$105,B6)&lt;&gt;1),"Unknown or duplicate Risk ID",IF(OR(G6="",J6=""),"Approval details missing",IF(OR(NOT(ISNUMBER(L6)),NOT(ISNUMBER(M6))),"Decision or expiry date missing/invalid",IF(OR(L6&lt;=0,L6&gt;Methodology!$B$4,M6&lt;L6),"Invalid decision or expiry date",IF(M6&lt;Methodology!$B$4,"Expired",IF(M6-L6&gt;Methodology!$B$6,"Exceeds maximum acceptance period",IF(O6&lt;&gt;"OK","Authority not sufficient","Eligible"))))))))))</f>
        <v>Expired</v>
      </c>
    </row>
    <row r="7" spans="1:20" ht="25" x14ac:dyDescent="0.35">
      <c r="A7" s="35" t="s">
        <v>370</v>
      </c>
      <c r="B7" s="35" t="s">
        <v>270</v>
      </c>
      <c r="C7" s="44" t="str">
        <f>IF(B7="","",IFERROR(INDEX('Risk Register'!$B$6:$B$105,MATCH(B7,'Risk Register'!$A$6:$A$105,0)),"Unknown Risk ID"))</f>
        <v>Sensitive data pasted into AI tools</v>
      </c>
      <c r="D7" s="38" t="str">
        <f>IF(B7="","",IFERROR(INDEX('Risk Register'!$D$6:$D$105,MATCH(B7,'Risk Register'!$A$6:$A$105,0)),""))</f>
        <v>Data Privacy</v>
      </c>
      <c r="E7" s="37">
        <f ca="1">IF(B7="","",IFERROR(INDEX('Risk Register'!$O$6:$O$105,MATCH(B7,'Risk Register'!$A$6:$A$105,0)),""))</f>
        <v>9</v>
      </c>
      <c r="F7" s="38" t="str">
        <f ca="1">IF(B7="","",IFERROR(INDEX('Risk Register'!$U$6:$U$105,MATCH(B7,'Risk Register'!$A$6:$A$105,0)),""))</f>
        <v>Appetite breach</v>
      </c>
      <c r="G7" s="24" t="s">
        <v>371</v>
      </c>
      <c r="H7" s="24" t="s">
        <v>372</v>
      </c>
      <c r="I7" s="35" t="s">
        <v>369</v>
      </c>
      <c r="J7" s="35" t="s">
        <v>193</v>
      </c>
      <c r="K7" s="35" t="s">
        <v>156</v>
      </c>
      <c r="L7" s="46">
        <v>46295</v>
      </c>
      <c r="M7" s="46">
        <v>46477</v>
      </c>
      <c r="N7" s="38" t="str">
        <f ca="1">IF(F7="","",IFERROR(INDEX(Methodology!$B$48:$B$50,MATCH(F7,Methodology!$A$48:$A$50,0)),""))</f>
        <v>Head of Risk / CISO</v>
      </c>
      <c r="O7" s="38" t="str">
        <f ca="1">IF(OR(I7&lt;&gt;"Approved",F7=""),"",IF(F7="Within appetite","Not in breach",IF(K7="","Authority level not set",IF(IFERROR(MATCH(K7,Methodology!$B$49:$B$50,0),0)&gt;=IFERROR(MATCH(N7,Methodology!$B$49:$B$50,0),99),"OK","Insufficient authority"))))</f>
        <v>OK</v>
      </c>
      <c r="P7" s="38" t="str">
        <f ca="1">IF(A7="","",IF(I7&lt;&gt;"Approved",IF(I7="","No decision",I7),IF(M7="","Approved - no expiry",IF(M7&lt;Methodology!$B$4,"Expired",IF(M7-Methodology!$B$4&lt;=Methodology!$B$5,"Expiring soon","Active")))))</f>
        <v>Active</v>
      </c>
      <c r="Q7" s="37">
        <f ca="1">IF(OR(M7="",I7&lt;&gt;"Approved"),"",M7-Methodology!$B$4)</f>
        <v>159</v>
      </c>
      <c r="R7" s="44" t="str">
        <f ca="1">IF(A7="","",IF(AND(I7="Approved",F7="Within appetite"),"Risk now within appetite: acceptance may be unnecessary",IF(AND(I7="Approved",L7&lt;&gt;"",M7&lt;&gt;"",M7-L7&gt;Methodology!$B$6),"Exceeds maximum acceptance period",IF(AND(I7="Approved",J7=""),"Approver not named",""))))</f>
        <v/>
      </c>
      <c r="S7">
        <f ca="1">IF(A7="",0,IF(O7&lt;&gt;"Insufficient authority",0,IF(COUNTIFS('Exception Register'!$B$6:$B$45,Checks!$A$11,'Exception Register'!$C$6:$C$45,A7&amp;" ("&amp;B7&amp;")",'Exception Register'!$J$6:$J$45,"Valid")&gt;0,1,0)))</f>
        <v>0</v>
      </c>
      <c r="T7" t="str">
        <f ca="1">IF(A7="","",IF(COUNTIF($A$6:$A$105,A7)&gt;1,"Duplicate Acceptance ID",IF(I7&lt;&gt;"Approved","Not approved",IF(OR(B7="",COUNTIF('Risk Register'!$A$6:$A$105,B7)&lt;&gt;1),"Unknown or duplicate Risk ID",IF(OR(G7="",J7=""),"Approval details missing",IF(OR(NOT(ISNUMBER(L7)),NOT(ISNUMBER(M7))),"Decision or expiry date missing/invalid",IF(OR(L7&lt;=0,L7&gt;Methodology!$B$4,M7&lt;L7),"Invalid decision or expiry date",IF(M7&lt;Methodology!$B$4,"Expired",IF(M7-L7&gt;Methodology!$B$6,"Exceeds maximum acceptance period",IF(O7&lt;&gt;"OK","Authority not sufficient","Eligible"))))))))))</f>
        <v>Eligible</v>
      </c>
    </row>
    <row r="8" spans="1:20" ht="25" x14ac:dyDescent="0.35">
      <c r="A8" s="35" t="s">
        <v>373</v>
      </c>
      <c r="B8" s="35" t="s">
        <v>287</v>
      </c>
      <c r="C8" s="44" t="str">
        <f>IF(B8="","",IFERROR(INDEX('Risk Register'!$B$6:$B$105,MATCH(B8,'Risk Register'!$A$6:$A$105,0)),"Unknown Risk ID"))</f>
        <v>Legacy ERP out of support</v>
      </c>
      <c r="D8" s="38" t="str">
        <f>IF(B8="","",IFERROR(INDEX('Risk Register'!$D$6:$D$105,MATCH(B8,'Risk Register'!$A$6:$A$105,0)),""))</f>
        <v>Technology</v>
      </c>
      <c r="E8" s="37">
        <f ca="1">IF(B8="","",IFERROR(INDEX('Risk Register'!$O$6:$O$105,MATCH(B8,'Risk Register'!$A$6:$A$105,0)),""))</f>
        <v>15</v>
      </c>
      <c r="F8" s="38" t="str">
        <f ca="1">IF(B8="","",IFERROR(INDEX('Risk Register'!$U$6:$U$105,MATCH(B8,'Risk Register'!$A$6:$A$105,0)),""))</f>
        <v>Appetite breach</v>
      </c>
      <c r="G8" s="24" t="s">
        <v>374</v>
      </c>
      <c r="H8" s="24" t="s">
        <v>375</v>
      </c>
      <c r="I8" s="35" t="s">
        <v>369</v>
      </c>
      <c r="J8" s="35" t="s">
        <v>290</v>
      </c>
      <c r="K8" s="35" t="s">
        <v>156</v>
      </c>
      <c r="L8" s="46">
        <v>46174</v>
      </c>
      <c r="M8" s="46"/>
      <c r="N8" s="38" t="str">
        <f ca="1">IF(F8="","",IFERROR(INDEX(Methodology!$B$48:$B$50,MATCH(F8,Methodology!$A$48:$A$50,0)),""))</f>
        <v>Head of Risk / CISO</v>
      </c>
      <c r="O8" s="38" t="str">
        <f ca="1">IF(OR(I8&lt;&gt;"Approved",F8=""),"",IF(F8="Within appetite","Not in breach",IF(K8="","Authority level not set",IF(IFERROR(MATCH(K8,Methodology!$B$49:$B$50,0),0)&gt;=IFERROR(MATCH(N8,Methodology!$B$49:$B$50,0),99),"OK","Insufficient authority"))))</f>
        <v>OK</v>
      </c>
      <c r="P8" s="38" t="str">
        <f>IF(A8="","",IF(I8&lt;&gt;"Approved",IF(I8="","No decision",I8),IF(M8="","Approved - no expiry",IF(M8&lt;Methodology!$B$4,"Expired",IF(M8-Methodology!$B$4&lt;=Methodology!$B$5,"Expiring soon","Active")))))</f>
        <v>Approved - no expiry</v>
      </c>
      <c r="Q8" s="37" t="str">
        <f>IF(OR(M8="",I8&lt;&gt;"Approved"),"",M8-Methodology!$B$4)</f>
        <v/>
      </c>
      <c r="R8" s="44" t="str">
        <f ca="1">IF(A8="","",IF(AND(I8="Approved",F8="Within appetite"),"Risk now within appetite: acceptance may be unnecessary",IF(AND(I8="Approved",L8&lt;&gt;"",M8&lt;&gt;"",M8-L8&gt;Methodology!$B$6),"Exceeds maximum acceptance period",IF(AND(I8="Approved",J8=""),"Approver not named",""))))</f>
        <v/>
      </c>
      <c r="S8">
        <f ca="1">IF(A8="",0,IF(O8&lt;&gt;"Insufficient authority",0,IF(COUNTIFS('Exception Register'!$B$6:$B$45,Checks!$A$11,'Exception Register'!$C$6:$C$45,A8&amp;" ("&amp;B8&amp;")",'Exception Register'!$J$6:$J$45,"Valid")&gt;0,1,0)))</f>
        <v>0</v>
      </c>
      <c r="T8" t="str">
        <f>IF(A8="","",IF(COUNTIF($A$6:$A$105,A8)&gt;1,"Duplicate Acceptance ID",IF(I8&lt;&gt;"Approved","Not approved",IF(OR(B8="",COUNTIF('Risk Register'!$A$6:$A$105,B8)&lt;&gt;1),"Unknown or duplicate Risk ID",IF(OR(G8="",J8=""),"Approval details missing",IF(OR(NOT(ISNUMBER(L8)),NOT(ISNUMBER(M8))),"Decision or expiry date missing/invalid",IF(OR(L8&lt;=0,L8&gt;Methodology!$B$4,M8&lt;L8),"Invalid decision or expiry date",IF(M8&lt;Methodology!$B$4,"Expired",IF(M8-L8&gt;Methodology!$B$6,"Exceeds maximum acceptance period",IF(O8&lt;&gt;"OK","Authority not sufficient","Eligible"))))))))))</f>
        <v>Decision or expiry date missing/invalid</v>
      </c>
    </row>
    <row r="9" spans="1:20" ht="25" x14ac:dyDescent="0.35">
      <c r="A9" s="35" t="s">
        <v>376</v>
      </c>
      <c r="B9" s="35" t="s">
        <v>275</v>
      </c>
      <c r="C9" s="44" t="str">
        <f>IF(B9="","",IFERROR(INDEX('Risk Register'!$B$6:$B$105,MATCH(B9,'Risk Register'!$A$6:$A$105,0)),"Unknown Risk ID"))</f>
        <v>Missed regulatory deadlines</v>
      </c>
      <c r="D9" s="38" t="str">
        <f>IF(B9="","",IFERROR(INDEX('Risk Register'!$D$6:$D$105,MATCH(B9,'Risk Register'!$A$6:$A$105,0)),""))</f>
        <v>Compliance &amp; Regulatory</v>
      </c>
      <c r="E9" s="37">
        <f ca="1">IF(B9="","",IFERROR(INDEX('Risk Register'!$O$6:$O$105,MATCH(B9,'Risk Register'!$A$6:$A$105,0)),""))</f>
        <v>8</v>
      </c>
      <c r="F9" s="38" t="str">
        <f ca="1">IF(B9="","",IFERROR(INDEX('Risk Register'!$U$6:$U$105,MATCH(B9,'Risk Register'!$A$6:$A$105,0)),""))</f>
        <v>Appetite breach</v>
      </c>
      <c r="G9" s="24" t="s">
        <v>377</v>
      </c>
      <c r="H9" s="24" t="s">
        <v>378</v>
      </c>
      <c r="I9" s="35" t="s">
        <v>379</v>
      </c>
      <c r="J9" s="35" t="s">
        <v>278</v>
      </c>
      <c r="K9" s="35"/>
      <c r="L9" s="46"/>
      <c r="M9" s="46"/>
      <c r="N9" s="38" t="str">
        <f ca="1">IF(F9="","",IFERROR(INDEX(Methodology!$B$48:$B$50,MATCH(F9,Methodology!$A$48:$A$50,0)),""))</f>
        <v>Head of Risk / CISO</v>
      </c>
      <c r="O9" s="38" t="str">
        <f ca="1">IF(OR(I9&lt;&gt;"Approved",F9=""),"",IF(F9="Within appetite","Not in breach",IF(K9="","Authority level not set",IF(IFERROR(MATCH(K9,Methodology!$B$49:$B$50,0),0)&gt;=IFERROR(MATCH(N9,Methodology!$B$49:$B$50,0),99),"OK","Insufficient authority"))))</f>
        <v/>
      </c>
      <c r="P9" s="38" t="str">
        <f>IF(A9="","",IF(I9&lt;&gt;"Approved",IF(I9="","No decision",I9),IF(M9="","Approved - no expiry",IF(M9&lt;Methodology!$B$4,"Expired",IF(M9-Methodology!$B$4&lt;=Methodology!$B$5,"Expiring soon","Active")))))</f>
        <v>Pending</v>
      </c>
      <c r="Q9" s="37" t="str">
        <f>IF(OR(M9="",I9&lt;&gt;"Approved"),"",M9-Methodology!$B$4)</f>
        <v/>
      </c>
      <c r="R9" s="44" t="str">
        <f ca="1">IF(A9="","",IF(AND(I9="Approved",F9="Within appetite"),"Risk now within appetite: acceptance may be unnecessary",IF(AND(I9="Approved",L9&lt;&gt;"",M9&lt;&gt;"",M9-L9&gt;Methodology!$B$6),"Exceeds maximum acceptance period",IF(AND(I9="Approved",J9=""),"Approver not named",""))))</f>
        <v/>
      </c>
      <c r="S9">
        <f ca="1">IF(A9="",0,IF(O9&lt;&gt;"Insufficient authority",0,IF(COUNTIFS('Exception Register'!$B$6:$B$45,Checks!$A$11,'Exception Register'!$C$6:$C$45,A9&amp;" ("&amp;B9&amp;")",'Exception Register'!$J$6:$J$45,"Valid")&gt;0,1,0)))</f>
        <v>0</v>
      </c>
      <c r="T9" t="str">
        <f>IF(A9="","",IF(COUNTIF($A$6:$A$105,A9)&gt;1,"Duplicate Acceptance ID",IF(I9&lt;&gt;"Approved","Not approved",IF(OR(B9="",COUNTIF('Risk Register'!$A$6:$A$105,B9)&lt;&gt;1),"Unknown or duplicate Risk ID",IF(OR(G9="",J9=""),"Approval details missing",IF(OR(NOT(ISNUMBER(L9)),NOT(ISNUMBER(M9))),"Decision or expiry date missing/invalid",IF(OR(L9&lt;=0,L9&gt;Methodology!$B$4,M9&lt;L9),"Invalid decision or expiry date",IF(M9&lt;Methodology!$B$4,"Expired",IF(M9-L9&gt;Methodology!$B$6,"Exceeds maximum acceptance period",IF(O9&lt;&gt;"OK","Authority not sufficient","Eligible"))))))))))</f>
        <v>Not approved</v>
      </c>
    </row>
    <row r="10" spans="1:20" x14ac:dyDescent="0.35">
      <c r="A10" s="35"/>
      <c r="B10" s="35"/>
      <c r="C10" s="44" t="str">
        <f>IF(B10="","",IFERROR(INDEX('Risk Register'!$B$6:$B$105,MATCH(B10,'Risk Register'!$A$6:$A$105,0)),"Unknown Risk ID"))</f>
        <v/>
      </c>
      <c r="D10" s="38" t="str">
        <f>IF(B10="","",IFERROR(INDEX('Risk Register'!$D$6:$D$105,MATCH(B10,'Risk Register'!$A$6:$A$105,0)),""))</f>
        <v/>
      </c>
      <c r="E10" s="37" t="str">
        <f>IF(B10="","",IFERROR(INDEX('Risk Register'!$O$6:$O$105,MATCH(B10,'Risk Register'!$A$6:$A$105,0)),""))</f>
        <v/>
      </c>
      <c r="F10" s="38" t="str">
        <f>IF(B10="","",IFERROR(INDEX('Risk Register'!$U$6:$U$105,MATCH(B10,'Risk Register'!$A$6:$A$105,0)),""))</f>
        <v/>
      </c>
      <c r="G10" s="24"/>
      <c r="H10" s="24"/>
      <c r="I10" s="35"/>
      <c r="J10" s="35"/>
      <c r="K10" s="35"/>
      <c r="L10" s="46"/>
      <c r="M10" s="46"/>
      <c r="N10" s="38" t="str">
        <f>IF(F10="","",IFERROR(INDEX(Methodology!$B$48:$B$50,MATCH(F10,Methodology!$A$48:$A$50,0)),""))</f>
        <v/>
      </c>
      <c r="O10" s="38" t="str">
        <f>IF(OR(I10&lt;&gt;"Approved",F10=""),"",IF(F10="Within appetite","Not in breach",IF(K10="","Authority level not set",IF(IFERROR(MATCH(K10,Methodology!$B$49:$B$50,0),0)&gt;=IFERROR(MATCH(N10,Methodology!$B$49:$B$50,0),99),"OK","Insufficient authority"))))</f>
        <v/>
      </c>
      <c r="P10" s="38" t="str">
        <f>IF(A10="","",IF(I10&lt;&gt;"Approved",IF(I10="","No decision",I10),IF(M10="","Approved - no expiry",IF(M10&lt;Methodology!$B$4,"Expired",IF(M10-Methodology!$B$4&lt;=Methodology!$B$5,"Expiring soon","Active")))))</f>
        <v/>
      </c>
      <c r="Q10" s="37" t="str">
        <f>IF(OR(M10="",I10&lt;&gt;"Approved"),"",M10-Methodology!$B$4)</f>
        <v/>
      </c>
      <c r="R10" s="44" t="str">
        <f>IF(A10="","",IF(AND(I10="Approved",F10="Within appetite"),"Risk now within appetite: acceptance may be unnecessary",IF(AND(I10="Approved",L10&lt;&gt;"",M10&lt;&gt;"",M10-L10&gt;Methodology!$B$6),"Exceeds maximum acceptance period",IF(AND(I10="Approved",J10=""),"Approver not named",""))))</f>
        <v/>
      </c>
      <c r="S10">
        <f>IF(A10="",0,IF(O10&lt;&gt;"Insufficient authority",0,IF(COUNTIFS('Exception Register'!$B$6:$B$45,Checks!$A$11,'Exception Register'!$C$6:$C$45,A10&amp;" ("&amp;B10&amp;")",'Exception Register'!$J$6:$J$45,"Valid")&gt;0,1,0)))</f>
        <v>0</v>
      </c>
      <c r="T10" t="str">
        <f>IF(A10="","",IF(COUNTIF($A$6:$A$105,A10)&gt;1,"Duplicate Acceptance ID",IF(I10&lt;&gt;"Approved","Not approved",IF(OR(B10="",COUNTIF('Risk Register'!$A$6:$A$105,B10)&lt;&gt;1),"Unknown or duplicate Risk ID",IF(OR(G10="",J10=""),"Approval details missing",IF(OR(NOT(ISNUMBER(L10)),NOT(ISNUMBER(M10))),"Decision or expiry date missing/invalid",IF(OR(L10&lt;=0,L10&gt;Methodology!$B$4,M10&lt;L10),"Invalid decision or expiry date",IF(M10&lt;Methodology!$B$4,"Expired",IF(M10-L10&gt;Methodology!$B$6,"Exceeds maximum acceptance period",IF(O10&lt;&gt;"OK","Authority not sufficient","Eligible"))))))))))</f>
        <v/>
      </c>
    </row>
    <row r="11" spans="1:20" x14ac:dyDescent="0.35">
      <c r="A11" s="35"/>
      <c r="B11" s="35"/>
      <c r="C11" s="44" t="str">
        <f>IF(B11="","",IFERROR(INDEX('Risk Register'!$B$6:$B$105,MATCH(B11,'Risk Register'!$A$6:$A$105,0)),"Unknown Risk ID"))</f>
        <v/>
      </c>
      <c r="D11" s="38" t="str">
        <f>IF(B11="","",IFERROR(INDEX('Risk Register'!$D$6:$D$105,MATCH(B11,'Risk Register'!$A$6:$A$105,0)),""))</f>
        <v/>
      </c>
      <c r="E11" s="37" t="str">
        <f>IF(B11="","",IFERROR(INDEX('Risk Register'!$O$6:$O$105,MATCH(B11,'Risk Register'!$A$6:$A$105,0)),""))</f>
        <v/>
      </c>
      <c r="F11" s="38" t="str">
        <f>IF(B11="","",IFERROR(INDEX('Risk Register'!$U$6:$U$105,MATCH(B11,'Risk Register'!$A$6:$A$105,0)),""))</f>
        <v/>
      </c>
      <c r="G11" s="24"/>
      <c r="H11" s="24"/>
      <c r="I11" s="35"/>
      <c r="J11" s="35"/>
      <c r="K11" s="35"/>
      <c r="L11" s="46"/>
      <c r="M11" s="46"/>
      <c r="N11" s="38" t="str">
        <f>IF(F11="","",IFERROR(INDEX(Methodology!$B$48:$B$50,MATCH(F11,Methodology!$A$48:$A$50,0)),""))</f>
        <v/>
      </c>
      <c r="O11" s="38" t="str">
        <f>IF(OR(I11&lt;&gt;"Approved",F11=""),"",IF(F11="Within appetite","Not in breach",IF(K11="","Authority level not set",IF(IFERROR(MATCH(K11,Methodology!$B$49:$B$50,0),0)&gt;=IFERROR(MATCH(N11,Methodology!$B$49:$B$50,0),99),"OK","Insufficient authority"))))</f>
        <v/>
      </c>
      <c r="P11" s="38" t="str">
        <f>IF(A11="","",IF(I11&lt;&gt;"Approved",IF(I11="","No decision",I11),IF(M11="","Approved - no expiry",IF(M11&lt;Methodology!$B$4,"Expired",IF(M11-Methodology!$B$4&lt;=Methodology!$B$5,"Expiring soon","Active")))))</f>
        <v/>
      </c>
      <c r="Q11" s="37" t="str">
        <f>IF(OR(M11="",I11&lt;&gt;"Approved"),"",M11-Methodology!$B$4)</f>
        <v/>
      </c>
      <c r="R11" s="44" t="str">
        <f>IF(A11="","",IF(AND(I11="Approved",F11="Within appetite"),"Risk now within appetite: acceptance may be unnecessary",IF(AND(I11="Approved",L11&lt;&gt;"",M11&lt;&gt;"",M11-L11&gt;Methodology!$B$6),"Exceeds maximum acceptance period",IF(AND(I11="Approved",J11=""),"Approver not named",""))))</f>
        <v/>
      </c>
      <c r="S11">
        <f>IF(A11="",0,IF(O11&lt;&gt;"Insufficient authority",0,IF(COUNTIFS('Exception Register'!$B$6:$B$45,Checks!$A$11,'Exception Register'!$C$6:$C$45,A11&amp;" ("&amp;B11&amp;")",'Exception Register'!$J$6:$J$45,"Valid")&gt;0,1,0)))</f>
        <v>0</v>
      </c>
      <c r="T11" t="str">
        <f>IF(A11="","",IF(COUNTIF($A$6:$A$105,A11)&gt;1,"Duplicate Acceptance ID",IF(I11&lt;&gt;"Approved","Not approved",IF(OR(B11="",COUNTIF('Risk Register'!$A$6:$A$105,B11)&lt;&gt;1),"Unknown or duplicate Risk ID",IF(OR(G11="",J11=""),"Approval details missing",IF(OR(NOT(ISNUMBER(L11)),NOT(ISNUMBER(M11))),"Decision or expiry date missing/invalid",IF(OR(L11&lt;=0,L11&gt;Methodology!$B$4,M11&lt;L11),"Invalid decision or expiry date",IF(M11&lt;Methodology!$B$4,"Expired",IF(M11-L11&gt;Methodology!$B$6,"Exceeds maximum acceptance period",IF(O11&lt;&gt;"OK","Authority not sufficient","Eligible"))))))))))</f>
        <v/>
      </c>
    </row>
    <row r="12" spans="1:20" x14ac:dyDescent="0.35">
      <c r="A12" s="35"/>
      <c r="B12" s="35"/>
      <c r="C12" s="44" t="str">
        <f>IF(B12="","",IFERROR(INDEX('Risk Register'!$B$6:$B$105,MATCH(B12,'Risk Register'!$A$6:$A$105,0)),"Unknown Risk ID"))</f>
        <v/>
      </c>
      <c r="D12" s="38" t="str">
        <f>IF(B12="","",IFERROR(INDEX('Risk Register'!$D$6:$D$105,MATCH(B12,'Risk Register'!$A$6:$A$105,0)),""))</f>
        <v/>
      </c>
      <c r="E12" s="37" t="str">
        <f>IF(B12="","",IFERROR(INDEX('Risk Register'!$O$6:$O$105,MATCH(B12,'Risk Register'!$A$6:$A$105,0)),""))</f>
        <v/>
      </c>
      <c r="F12" s="38" t="str">
        <f>IF(B12="","",IFERROR(INDEX('Risk Register'!$U$6:$U$105,MATCH(B12,'Risk Register'!$A$6:$A$105,0)),""))</f>
        <v/>
      </c>
      <c r="G12" s="24"/>
      <c r="H12" s="24"/>
      <c r="I12" s="35"/>
      <c r="J12" s="35"/>
      <c r="K12" s="35"/>
      <c r="L12" s="46"/>
      <c r="M12" s="46"/>
      <c r="N12" s="38" t="str">
        <f>IF(F12="","",IFERROR(INDEX(Methodology!$B$48:$B$50,MATCH(F12,Methodology!$A$48:$A$50,0)),""))</f>
        <v/>
      </c>
      <c r="O12" s="38" t="str">
        <f>IF(OR(I12&lt;&gt;"Approved",F12=""),"",IF(F12="Within appetite","Not in breach",IF(K12="","Authority level not set",IF(IFERROR(MATCH(K12,Methodology!$B$49:$B$50,0),0)&gt;=IFERROR(MATCH(N12,Methodology!$B$49:$B$50,0),99),"OK","Insufficient authority"))))</f>
        <v/>
      </c>
      <c r="P12" s="38" t="str">
        <f>IF(A12="","",IF(I12&lt;&gt;"Approved",IF(I12="","No decision",I12),IF(M12="","Approved - no expiry",IF(M12&lt;Methodology!$B$4,"Expired",IF(M12-Methodology!$B$4&lt;=Methodology!$B$5,"Expiring soon","Active")))))</f>
        <v/>
      </c>
      <c r="Q12" s="37" t="str">
        <f>IF(OR(M12="",I12&lt;&gt;"Approved"),"",M12-Methodology!$B$4)</f>
        <v/>
      </c>
      <c r="R12" s="44" t="str">
        <f>IF(A12="","",IF(AND(I12="Approved",F12="Within appetite"),"Risk now within appetite: acceptance may be unnecessary",IF(AND(I12="Approved",L12&lt;&gt;"",M12&lt;&gt;"",M12-L12&gt;Methodology!$B$6),"Exceeds maximum acceptance period",IF(AND(I12="Approved",J12=""),"Approver not named",""))))</f>
        <v/>
      </c>
      <c r="S12">
        <f>IF(A12="",0,IF(O12&lt;&gt;"Insufficient authority",0,IF(COUNTIFS('Exception Register'!$B$6:$B$45,Checks!$A$11,'Exception Register'!$C$6:$C$45,A12&amp;" ("&amp;B12&amp;")",'Exception Register'!$J$6:$J$45,"Valid")&gt;0,1,0)))</f>
        <v>0</v>
      </c>
      <c r="T12" t="str">
        <f>IF(A12="","",IF(COUNTIF($A$6:$A$105,A12)&gt;1,"Duplicate Acceptance ID",IF(I12&lt;&gt;"Approved","Not approved",IF(OR(B12="",COUNTIF('Risk Register'!$A$6:$A$105,B12)&lt;&gt;1),"Unknown or duplicate Risk ID",IF(OR(G12="",J12=""),"Approval details missing",IF(OR(NOT(ISNUMBER(L12)),NOT(ISNUMBER(M12))),"Decision or expiry date missing/invalid",IF(OR(L12&lt;=0,L12&gt;Methodology!$B$4,M12&lt;L12),"Invalid decision or expiry date",IF(M12&lt;Methodology!$B$4,"Expired",IF(M12-L12&gt;Methodology!$B$6,"Exceeds maximum acceptance period",IF(O12&lt;&gt;"OK","Authority not sufficient","Eligible"))))))))))</f>
        <v/>
      </c>
    </row>
    <row r="13" spans="1:20" x14ac:dyDescent="0.35">
      <c r="A13" s="35"/>
      <c r="B13" s="35"/>
      <c r="C13" s="44" t="str">
        <f>IF(B13="","",IFERROR(INDEX('Risk Register'!$B$6:$B$105,MATCH(B13,'Risk Register'!$A$6:$A$105,0)),"Unknown Risk ID"))</f>
        <v/>
      </c>
      <c r="D13" s="38" t="str">
        <f>IF(B13="","",IFERROR(INDEX('Risk Register'!$D$6:$D$105,MATCH(B13,'Risk Register'!$A$6:$A$105,0)),""))</f>
        <v/>
      </c>
      <c r="E13" s="37" t="str">
        <f>IF(B13="","",IFERROR(INDEX('Risk Register'!$O$6:$O$105,MATCH(B13,'Risk Register'!$A$6:$A$105,0)),""))</f>
        <v/>
      </c>
      <c r="F13" s="38" t="str">
        <f>IF(B13="","",IFERROR(INDEX('Risk Register'!$U$6:$U$105,MATCH(B13,'Risk Register'!$A$6:$A$105,0)),""))</f>
        <v/>
      </c>
      <c r="G13" s="24"/>
      <c r="H13" s="24"/>
      <c r="I13" s="35"/>
      <c r="J13" s="35"/>
      <c r="K13" s="35"/>
      <c r="L13" s="46"/>
      <c r="M13" s="46"/>
      <c r="N13" s="38" t="str">
        <f>IF(F13="","",IFERROR(INDEX(Methodology!$B$48:$B$50,MATCH(F13,Methodology!$A$48:$A$50,0)),""))</f>
        <v/>
      </c>
      <c r="O13" s="38" t="str">
        <f>IF(OR(I13&lt;&gt;"Approved",F13=""),"",IF(F13="Within appetite","Not in breach",IF(K13="","Authority level not set",IF(IFERROR(MATCH(K13,Methodology!$B$49:$B$50,0),0)&gt;=IFERROR(MATCH(N13,Methodology!$B$49:$B$50,0),99),"OK","Insufficient authority"))))</f>
        <v/>
      </c>
      <c r="P13" s="38" t="str">
        <f>IF(A13="","",IF(I13&lt;&gt;"Approved",IF(I13="","No decision",I13),IF(M13="","Approved - no expiry",IF(M13&lt;Methodology!$B$4,"Expired",IF(M13-Methodology!$B$4&lt;=Methodology!$B$5,"Expiring soon","Active")))))</f>
        <v/>
      </c>
      <c r="Q13" s="37" t="str">
        <f>IF(OR(M13="",I13&lt;&gt;"Approved"),"",M13-Methodology!$B$4)</f>
        <v/>
      </c>
      <c r="R13" s="44" t="str">
        <f>IF(A13="","",IF(AND(I13="Approved",F13="Within appetite"),"Risk now within appetite: acceptance may be unnecessary",IF(AND(I13="Approved",L13&lt;&gt;"",M13&lt;&gt;"",M13-L13&gt;Methodology!$B$6),"Exceeds maximum acceptance period",IF(AND(I13="Approved",J13=""),"Approver not named",""))))</f>
        <v/>
      </c>
      <c r="S13">
        <f>IF(A13="",0,IF(O13&lt;&gt;"Insufficient authority",0,IF(COUNTIFS('Exception Register'!$B$6:$B$45,Checks!$A$11,'Exception Register'!$C$6:$C$45,A13&amp;" ("&amp;B13&amp;")",'Exception Register'!$J$6:$J$45,"Valid")&gt;0,1,0)))</f>
        <v>0</v>
      </c>
      <c r="T13" t="str">
        <f>IF(A13="","",IF(COUNTIF($A$6:$A$105,A13)&gt;1,"Duplicate Acceptance ID",IF(I13&lt;&gt;"Approved","Not approved",IF(OR(B13="",COUNTIF('Risk Register'!$A$6:$A$105,B13)&lt;&gt;1),"Unknown or duplicate Risk ID",IF(OR(G13="",J13=""),"Approval details missing",IF(OR(NOT(ISNUMBER(L13)),NOT(ISNUMBER(M13))),"Decision or expiry date missing/invalid",IF(OR(L13&lt;=0,L13&gt;Methodology!$B$4,M13&lt;L13),"Invalid decision or expiry date",IF(M13&lt;Methodology!$B$4,"Expired",IF(M13-L13&gt;Methodology!$B$6,"Exceeds maximum acceptance period",IF(O13&lt;&gt;"OK","Authority not sufficient","Eligible"))))))))))</f>
        <v/>
      </c>
    </row>
    <row r="14" spans="1:20" x14ac:dyDescent="0.35">
      <c r="A14" s="35"/>
      <c r="B14" s="35"/>
      <c r="C14" s="44" t="str">
        <f>IF(B14="","",IFERROR(INDEX('Risk Register'!$B$6:$B$105,MATCH(B14,'Risk Register'!$A$6:$A$105,0)),"Unknown Risk ID"))</f>
        <v/>
      </c>
      <c r="D14" s="38" t="str">
        <f>IF(B14="","",IFERROR(INDEX('Risk Register'!$D$6:$D$105,MATCH(B14,'Risk Register'!$A$6:$A$105,0)),""))</f>
        <v/>
      </c>
      <c r="E14" s="37" t="str">
        <f>IF(B14="","",IFERROR(INDEX('Risk Register'!$O$6:$O$105,MATCH(B14,'Risk Register'!$A$6:$A$105,0)),""))</f>
        <v/>
      </c>
      <c r="F14" s="38" t="str">
        <f>IF(B14="","",IFERROR(INDEX('Risk Register'!$U$6:$U$105,MATCH(B14,'Risk Register'!$A$6:$A$105,0)),""))</f>
        <v/>
      </c>
      <c r="G14" s="24"/>
      <c r="H14" s="24"/>
      <c r="I14" s="35"/>
      <c r="J14" s="35"/>
      <c r="K14" s="35"/>
      <c r="L14" s="46"/>
      <c r="M14" s="46"/>
      <c r="N14" s="38" t="str">
        <f>IF(F14="","",IFERROR(INDEX(Methodology!$B$48:$B$50,MATCH(F14,Methodology!$A$48:$A$50,0)),""))</f>
        <v/>
      </c>
      <c r="O14" s="38" t="str">
        <f>IF(OR(I14&lt;&gt;"Approved",F14=""),"",IF(F14="Within appetite","Not in breach",IF(K14="","Authority level not set",IF(IFERROR(MATCH(K14,Methodology!$B$49:$B$50,0),0)&gt;=IFERROR(MATCH(N14,Methodology!$B$49:$B$50,0),99),"OK","Insufficient authority"))))</f>
        <v/>
      </c>
      <c r="P14" s="38" t="str">
        <f>IF(A14="","",IF(I14&lt;&gt;"Approved",IF(I14="","No decision",I14),IF(M14="","Approved - no expiry",IF(M14&lt;Methodology!$B$4,"Expired",IF(M14-Methodology!$B$4&lt;=Methodology!$B$5,"Expiring soon","Active")))))</f>
        <v/>
      </c>
      <c r="Q14" s="37" t="str">
        <f>IF(OR(M14="",I14&lt;&gt;"Approved"),"",M14-Methodology!$B$4)</f>
        <v/>
      </c>
      <c r="R14" s="44" t="str">
        <f>IF(A14="","",IF(AND(I14="Approved",F14="Within appetite"),"Risk now within appetite: acceptance may be unnecessary",IF(AND(I14="Approved",L14&lt;&gt;"",M14&lt;&gt;"",M14-L14&gt;Methodology!$B$6),"Exceeds maximum acceptance period",IF(AND(I14="Approved",J14=""),"Approver not named",""))))</f>
        <v/>
      </c>
      <c r="S14">
        <f>IF(A14="",0,IF(O14&lt;&gt;"Insufficient authority",0,IF(COUNTIFS('Exception Register'!$B$6:$B$45,Checks!$A$11,'Exception Register'!$C$6:$C$45,A14&amp;" ("&amp;B14&amp;")",'Exception Register'!$J$6:$J$45,"Valid")&gt;0,1,0)))</f>
        <v>0</v>
      </c>
      <c r="T14" t="str">
        <f>IF(A14="","",IF(COUNTIF($A$6:$A$105,A14)&gt;1,"Duplicate Acceptance ID",IF(I14&lt;&gt;"Approved","Not approved",IF(OR(B14="",COUNTIF('Risk Register'!$A$6:$A$105,B14)&lt;&gt;1),"Unknown or duplicate Risk ID",IF(OR(G14="",J14=""),"Approval details missing",IF(OR(NOT(ISNUMBER(L14)),NOT(ISNUMBER(M14))),"Decision or expiry date missing/invalid",IF(OR(L14&lt;=0,L14&gt;Methodology!$B$4,M14&lt;L14),"Invalid decision or expiry date",IF(M14&lt;Methodology!$B$4,"Expired",IF(M14-L14&gt;Methodology!$B$6,"Exceeds maximum acceptance period",IF(O14&lt;&gt;"OK","Authority not sufficient","Eligible"))))))))))</f>
        <v/>
      </c>
    </row>
    <row r="15" spans="1:20" x14ac:dyDescent="0.35">
      <c r="A15" s="35"/>
      <c r="B15" s="35"/>
      <c r="C15" s="44" t="str">
        <f>IF(B15="","",IFERROR(INDEX('Risk Register'!$B$6:$B$105,MATCH(B15,'Risk Register'!$A$6:$A$105,0)),"Unknown Risk ID"))</f>
        <v/>
      </c>
      <c r="D15" s="38" t="str">
        <f>IF(B15="","",IFERROR(INDEX('Risk Register'!$D$6:$D$105,MATCH(B15,'Risk Register'!$A$6:$A$105,0)),""))</f>
        <v/>
      </c>
      <c r="E15" s="37" t="str">
        <f>IF(B15="","",IFERROR(INDEX('Risk Register'!$O$6:$O$105,MATCH(B15,'Risk Register'!$A$6:$A$105,0)),""))</f>
        <v/>
      </c>
      <c r="F15" s="38" t="str">
        <f>IF(B15="","",IFERROR(INDEX('Risk Register'!$U$6:$U$105,MATCH(B15,'Risk Register'!$A$6:$A$105,0)),""))</f>
        <v/>
      </c>
      <c r="G15" s="24"/>
      <c r="H15" s="24"/>
      <c r="I15" s="35"/>
      <c r="J15" s="35"/>
      <c r="K15" s="35"/>
      <c r="L15" s="46"/>
      <c r="M15" s="46"/>
      <c r="N15" s="38" t="str">
        <f>IF(F15="","",IFERROR(INDEX(Methodology!$B$48:$B$50,MATCH(F15,Methodology!$A$48:$A$50,0)),""))</f>
        <v/>
      </c>
      <c r="O15" s="38" t="str">
        <f>IF(OR(I15&lt;&gt;"Approved",F15=""),"",IF(F15="Within appetite","Not in breach",IF(K15="","Authority level not set",IF(IFERROR(MATCH(K15,Methodology!$B$49:$B$50,0),0)&gt;=IFERROR(MATCH(N15,Methodology!$B$49:$B$50,0),99),"OK","Insufficient authority"))))</f>
        <v/>
      </c>
      <c r="P15" s="38" t="str">
        <f>IF(A15="","",IF(I15&lt;&gt;"Approved",IF(I15="","No decision",I15),IF(M15="","Approved - no expiry",IF(M15&lt;Methodology!$B$4,"Expired",IF(M15-Methodology!$B$4&lt;=Methodology!$B$5,"Expiring soon","Active")))))</f>
        <v/>
      </c>
      <c r="Q15" s="37" t="str">
        <f>IF(OR(M15="",I15&lt;&gt;"Approved"),"",M15-Methodology!$B$4)</f>
        <v/>
      </c>
      <c r="R15" s="44" t="str">
        <f>IF(A15="","",IF(AND(I15="Approved",F15="Within appetite"),"Risk now within appetite: acceptance may be unnecessary",IF(AND(I15="Approved",L15&lt;&gt;"",M15&lt;&gt;"",M15-L15&gt;Methodology!$B$6),"Exceeds maximum acceptance period",IF(AND(I15="Approved",J15=""),"Approver not named",""))))</f>
        <v/>
      </c>
      <c r="S15">
        <f>IF(A15="",0,IF(O15&lt;&gt;"Insufficient authority",0,IF(COUNTIFS('Exception Register'!$B$6:$B$45,Checks!$A$11,'Exception Register'!$C$6:$C$45,A15&amp;" ("&amp;B15&amp;")",'Exception Register'!$J$6:$J$45,"Valid")&gt;0,1,0)))</f>
        <v>0</v>
      </c>
      <c r="T15" t="str">
        <f>IF(A15="","",IF(COUNTIF($A$6:$A$105,A15)&gt;1,"Duplicate Acceptance ID",IF(I15&lt;&gt;"Approved","Not approved",IF(OR(B15="",COUNTIF('Risk Register'!$A$6:$A$105,B15)&lt;&gt;1),"Unknown or duplicate Risk ID",IF(OR(G15="",J15=""),"Approval details missing",IF(OR(NOT(ISNUMBER(L15)),NOT(ISNUMBER(M15))),"Decision or expiry date missing/invalid",IF(OR(L15&lt;=0,L15&gt;Methodology!$B$4,M15&lt;L15),"Invalid decision or expiry date",IF(M15&lt;Methodology!$B$4,"Expired",IF(M15-L15&gt;Methodology!$B$6,"Exceeds maximum acceptance period",IF(O15&lt;&gt;"OK","Authority not sufficient","Eligible"))))))))))</f>
        <v/>
      </c>
    </row>
    <row r="16" spans="1:20" x14ac:dyDescent="0.35">
      <c r="A16" s="35"/>
      <c r="B16" s="35"/>
      <c r="C16" s="44" t="str">
        <f>IF(B16="","",IFERROR(INDEX('Risk Register'!$B$6:$B$105,MATCH(B16,'Risk Register'!$A$6:$A$105,0)),"Unknown Risk ID"))</f>
        <v/>
      </c>
      <c r="D16" s="38" t="str">
        <f>IF(B16="","",IFERROR(INDEX('Risk Register'!$D$6:$D$105,MATCH(B16,'Risk Register'!$A$6:$A$105,0)),""))</f>
        <v/>
      </c>
      <c r="E16" s="37" t="str">
        <f>IF(B16="","",IFERROR(INDEX('Risk Register'!$O$6:$O$105,MATCH(B16,'Risk Register'!$A$6:$A$105,0)),""))</f>
        <v/>
      </c>
      <c r="F16" s="38" t="str">
        <f>IF(B16="","",IFERROR(INDEX('Risk Register'!$U$6:$U$105,MATCH(B16,'Risk Register'!$A$6:$A$105,0)),""))</f>
        <v/>
      </c>
      <c r="G16" s="24"/>
      <c r="H16" s="24"/>
      <c r="I16" s="35"/>
      <c r="J16" s="35"/>
      <c r="K16" s="35"/>
      <c r="L16" s="46"/>
      <c r="M16" s="46"/>
      <c r="N16" s="38" t="str">
        <f>IF(F16="","",IFERROR(INDEX(Methodology!$B$48:$B$50,MATCH(F16,Methodology!$A$48:$A$50,0)),""))</f>
        <v/>
      </c>
      <c r="O16" s="38" t="str">
        <f>IF(OR(I16&lt;&gt;"Approved",F16=""),"",IF(F16="Within appetite","Not in breach",IF(K16="","Authority level not set",IF(IFERROR(MATCH(K16,Methodology!$B$49:$B$50,0),0)&gt;=IFERROR(MATCH(N16,Methodology!$B$49:$B$50,0),99),"OK","Insufficient authority"))))</f>
        <v/>
      </c>
      <c r="P16" s="38" t="str">
        <f>IF(A16="","",IF(I16&lt;&gt;"Approved",IF(I16="","No decision",I16),IF(M16="","Approved - no expiry",IF(M16&lt;Methodology!$B$4,"Expired",IF(M16-Methodology!$B$4&lt;=Methodology!$B$5,"Expiring soon","Active")))))</f>
        <v/>
      </c>
      <c r="Q16" s="37" t="str">
        <f>IF(OR(M16="",I16&lt;&gt;"Approved"),"",M16-Methodology!$B$4)</f>
        <v/>
      </c>
      <c r="R16" s="44" t="str">
        <f>IF(A16="","",IF(AND(I16="Approved",F16="Within appetite"),"Risk now within appetite: acceptance may be unnecessary",IF(AND(I16="Approved",L16&lt;&gt;"",M16&lt;&gt;"",M16-L16&gt;Methodology!$B$6),"Exceeds maximum acceptance period",IF(AND(I16="Approved",J16=""),"Approver not named",""))))</f>
        <v/>
      </c>
      <c r="S16">
        <f>IF(A16="",0,IF(O16&lt;&gt;"Insufficient authority",0,IF(COUNTIFS('Exception Register'!$B$6:$B$45,Checks!$A$11,'Exception Register'!$C$6:$C$45,A16&amp;" ("&amp;B16&amp;")",'Exception Register'!$J$6:$J$45,"Valid")&gt;0,1,0)))</f>
        <v>0</v>
      </c>
      <c r="T16" t="str">
        <f>IF(A16="","",IF(COUNTIF($A$6:$A$105,A16)&gt;1,"Duplicate Acceptance ID",IF(I16&lt;&gt;"Approved","Not approved",IF(OR(B16="",COUNTIF('Risk Register'!$A$6:$A$105,B16)&lt;&gt;1),"Unknown or duplicate Risk ID",IF(OR(G16="",J16=""),"Approval details missing",IF(OR(NOT(ISNUMBER(L16)),NOT(ISNUMBER(M16))),"Decision or expiry date missing/invalid",IF(OR(L16&lt;=0,L16&gt;Methodology!$B$4,M16&lt;L16),"Invalid decision or expiry date",IF(M16&lt;Methodology!$B$4,"Expired",IF(M16-L16&gt;Methodology!$B$6,"Exceeds maximum acceptance period",IF(O16&lt;&gt;"OK","Authority not sufficient","Eligible"))))))))))</f>
        <v/>
      </c>
    </row>
    <row r="17" spans="1:20" x14ac:dyDescent="0.35">
      <c r="A17" s="35"/>
      <c r="B17" s="35"/>
      <c r="C17" s="44" t="str">
        <f>IF(B17="","",IFERROR(INDEX('Risk Register'!$B$6:$B$105,MATCH(B17,'Risk Register'!$A$6:$A$105,0)),"Unknown Risk ID"))</f>
        <v/>
      </c>
      <c r="D17" s="38" t="str">
        <f>IF(B17="","",IFERROR(INDEX('Risk Register'!$D$6:$D$105,MATCH(B17,'Risk Register'!$A$6:$A$105,0)),""))</f>
        <v/>
      </c>
      <c r="E17" s="37" t="str">
        <f>IF(B17="","",IFERROR(INDEX('Risk Register'!$O$6:$O$105,MATCH(B17,'Risk Register'!$A$6:$A$105,0)),""))</f>
        <v/>
      </c>
      <c r="F17" s="38" t="str">
        <f>IF(B17="","",IFERROR(INDEX('Risk Register'!$U$6:$U$105,MATCH(B17,'Risk Register'!$A$6:$A$105,0)),""))</f>
        <v/>
      </c>
      <c r="G17" s="24"/>
      <c r="H17" s="24"/>
      <c r="I17" s="35"/>
      <c r="J17" s="35"/>
      <c r="K17" s="35"/>
      <c r="L17" s="46"/>
      <c r="M17" s="46"/>
      <c r="N17" s="38" t="str">
        <f>IF(F17="","",IFERROR(INDEX(Methodology!$B$48:$B$50,MATCH(F17,Methodology!$A$48:$A$50,0)),""))</f>
        <v/>
      </c>
      <c r="O17" s="38" t="str">
        <f>IF(OR(I17&lt;&gt;"Approved",F17=""),"",IF(F17="Within appetite","Not in breach",IF(K17="","Authority level not set",IF(IFERROR(MATCH(K17,Methodology!$B$49:$B$50,0),0)&gt;=IFERROR(MATCH(N17,Methodology!$B$49:$B$50,0),99),"OK","Insufficient authority"))))</f>
        <v/>
      </c>
      <c r="P17" s="38" t="str">
        <f>IF(A17="","",IF(I17&lt;&gt;"Approved",IF(I17="","No decision",I17),IF(M17="","Approved - no expiry",IF(M17&lt;Methodology!$B$4,"Expired",IF(M17-Methodology!$B$4&lt;=Methodology!$B$5,"Expiring soon","Active")))))</f>
        <v/>
      </c>
      <c r="Q17" s="37" t="str">
        <f>IF(OR(M17="",I17&lt;&gt;"Approved"),"",M17-Methodology!$B$4)</f>
        <v/>
      </c>
      <c r="R17" s="44" t="str">
        <f>IF(A17="","",IF(AND(I17="Approved",F17="Within appetite"),"Risk now within appetite: acceptance may be unnecessary",IF(AND(I17="Approved",L17&lt;&gt;"",M17&lt;&gt;"",M17-L17&gt;Methodology!$B$6),"Exceeds maximum acceptance period",IF(AND(I17="Approved",J17=""),"Approver not named",""))))</f>
        <v/>
      </c>
      <c r="S17">
        <f>IF(A17="",0,IF(O17&lt;&gt;"Insufficient authority",0,IF(COUNTIFS('Exception Register'!$B$6:$B$45,Checks!$A$11,'Exception Register'!$C$6:$C$45,A17&amp;" ("&amp;B17&amp;")",'Exception Register'!$J$6:$J$45,"Valid")&gt;0,1,0)))</f>
        <v>0</v>
      </c>
      <c r="T17" t="str">
        <f>IF(A17="","",IF(COUNTIF($A$6:$A$105,A17)&gt;1,"Duplicate Acceptance ID",IF(I17&lt;&gt;"Approved","Not approved",IF(OR(B17="",COUNTIF('Risk Register'!$A$6:$A$105,B17)&lt;&gt;1),"Unknown or duplicate Risk ID",IF(OR(G17="",J17=""),"Approval details missing",IF(OR(NOT(ISNUMBER(L17)),NOT(ISNUMBER(M17))),"Decision or expiry date missing/invalid",IF(OR(L17&lt;=0,L17&gt;Methodology!$B$4,M17&lt;L17),"Invalid decision or expiry date",IF(M17&lt;Methodology!$B$4,"Expired",IF(M17-L17&gt;Methodology!$B$6,"Exceeds maximum acceptance period",IF(O17&lt;&gt;"OK","Authority not sufficient","Eligible"))))))))))</f>
        <v/>
      </c>
    </row>
    <row r="18" spans="1:20" x14ac:dyDescent="0.35">
      <c r="A18" s="35"/>
      <c r="B18" s="35"/>
      <c r="C18" s="44" t="str">
        <f>IF(B18="","",IFERROR(INDEX('Risk Register'!$B$6:$B$105,MATCH(B18,'Risk Register'!$A$6:$A$105,0)),"Unknown Risk ID"))</f>
        <v/>
      </c>
      <c r="D18" s="38" t="str">
        <f>IF(B18="","",IFERROR(INDEX('Risk Register'!$D$6:$D$105,MATCH(B18,'Risk Register'!$A$6:$A$105,0)),""))</f>
        <v/>
      </c>
      <c r="E18" s="37" t="str">
        <f>IF(B18="","",IFERROR(INDEX('Risk Register'!$O$6:$O$105,MATCH(B18,'Risk Register'!$A$6:$A$105,0)),""))</f>
        <v/>
      </c>
      <c r="F18" s="38" t="str">
        <f>IF(B18="","",IFERROR(INDEX('Risk Register'!$U$6:$U$105,MATCH(B18,'Risk Register'!$A$6:$A$105,0)),""))</f>
        <v/>
      </c>
      <c r="G18" s="24"/>
      <c r="H18" s="24"/>
      <c r="I18" s="35"/>
      <c r="J18" s="35"/>
      <c r="K18" s="35"/>
      <c r="L18" s="46"/>
      <c r="M18" s="46"/>
      <c r="N18" s="38" t="str">
        <f>IF(F18="","",IFERROR(INDEX(Methodology!$B$48:$B$50,MATCH(F18,Methodology!$A$48:$A$50,0)),""))</f>
        <v/>
      </c>
      <c r="O18" s="38" t="str">
        <f>IF(OR(I18&lt;&gt;"Approved",F18=""),"",IF(F18="Within appetite","Not in breach",IF(K18="","Authority level not set",IF(IFERROR(MATCH(K18,Methodology!$B$49:$B$50,0),0)&gt;=IFERROR(MATCH(N18,Methodology!$B$49:$B$50,0),99),"OK","Insufficient authority"))))</f>
        <v/>
      </c>
      <c r="P18" s="38" t="str">
        <f>IF(A18="","",IF(I18&lt;&gt;"Approved",IF(I18="","No decision",I18),IF(M18="","Approved - no expiry",IF(M18&lt;Methodology!$B$4,"Expired",IF(M18-Methodology!$B$4&lt;=Methodology!$B$5,"Expiring soon","Active")))))</f>
        <v/>
      </c>
      <c r="Q18" s="37" t="str">
        <f>IF(OR(M18="",I18&lt;&gt;"Approved"),"",M18-Methodology!$B$4)</f>
        <v/>
      </c>
      <c r="R18" s="44" t="str">
        <f>IF(A18="","",IF(AND(I18="Approved",F18="Within appetite"),"Risk now within appetite: acceptance may be unnecessary",IF(AND(I18="Approved",L18&lt;&gt;"",M18&lt;&gt;"",M18-L18&gt;Methodology!$B$6),"Exceeds maximum acceptance period",IF(AND(I18="Approved",J18=""),"Approver not named",""))))</f>
        <v/>
      </c>
      <c r="S18">
        <f>IF(A18="",0,IF(O18&lt;&gt;"Insufficient authority",0,IF(COUNTIFS('Exception Register'!$B$6:$B$45,Checks!$A$11,'Exception Register'!$C$6:$C$45,A18&amp;" ("&amp;B18&amp;")",'Exception Register'!$J$6:$J$45,"Valid")&gt;0,1,0)))</f>
        <v>0</v>
      </c>
      <c r="T18" t="str">
        <f>IF(A18="","",IF(COUNTIF($A$6:$A$105,A18)&gt;1,"Duplicate Acceptance ID",IF(I18&lt;&gt;"Approved","Not approved",IF(OR(B18="",COUNTIF('Risk Register'!$A$6:$A$105,B18)&lt;&gt;1),"Unknown or duplicate Risk ID",IF(OR(G18="",J18=""),"Approval details missing",IF(OR(NOT(ISNUMBER(L18)),NOT(ISNUMBER(M18))),"Decision or expiry date missing/invalid",IF(OR(L18&lt;=0,L18&gt;Methodology!$B$4,M18&lt;L18),"Invalid decision or expiry date",IF(M18&lt;Methodology!$B$4,"Expired",IF(M18-L18&gt;Methodology!$B$6,"Exceeds maximum acceptance period",IF(O18&lt;&gt;"OK","Authority not sufficient","Eligible"))))))))))</f>
        <v/>
      </c>
    </row>
    <row r="19" spans="1:20" x14ac:dyDescent="0.35">
      <c r="A19" s="35"/>
      <c r="B19" s="35"/>
      <c r="C19" s="44" t="str">
        <f>IF(B19="","",IFERROR(INDEX('Risk Register'!$B$6:$B$105,MATCH(B19,'Risk Register'!$A$6:$A$105,0)),"Unknown Risk ID"))</f>
        <v/>
      </c>
      <c r="D19" s="38" t="str">
        <f>IF(B19="","",IFERROR(INDEX('Risk Register'!$D$6:$D$105,MATCH(B19,'Risk Register'!$A$6:$A$105,0)),""))</f>
        <v/>
      </c>
      <c r="E19" s="37" t="str">
        <f>IF(B19="","",IFERROR(INDEX('Risk Register'!$O$6:$O$105,MATCH(B19,'Risk Register'!$A$6:$A$105,0)),""))</f>
        <v/>
      </c>
      <c r="F19" s="38" t="str">
        <f>IF(B19="","",IFERROR(INDEX('Risk Register'!$U$6:$U$105,MATCH(B19,'Risk Register'!$A$6:$A$105,0)),""))</f>
        <v/>
      </c>
      <c r="G19" s="24"/>
      <c r="H19" s="24"/>
      <c r="I19" s="35"/>
      <c r="J19" s="35"/>
      <c r="K19" s="35"/>
      <c r="L19" s="46"/>
      <c r="M19" s="46"/>
      <c r="N19" s="38" t="str">
        <f>IF(F19="","",IFERROR(INDEX(Methodology!$B$48:$B$50,MATCH(F19,Methodology!$A$48:$A$50,0)),""))</f>
        <v/>
      </c>
      <c r="O19" s="38" t="str">
        <f>IF(OR(I19&lt;&gt;"Approved",F19=""),"",IF(F19="Within appetite","Not in breach",IF(K19="","Authority level not set",IF(IFERROR(MATCH(K19,Methodology!$B$49:$B$50,0),0)&gt;=IFERROR(MATCH(N19,Methodology!$B$49:$B$50,0),99),"OK","Insufficient authority"))))</f>
        <v/>
      </c>
      <c r="P19" s="38" t="str">
        <f>IF(A19="","",IF(I19&lt;&gt;"Approved",IF(I19="","No decision",I19),IF(M19="","Approved - no expiry",IF(M19&lt;Methodology!$B$4,"Expired",IF(M19-Methodology!$B$4&lt;=Methodology!$B$5,"Expiring soon","Active")))))</f>
        <v/>
      </c>
      <c r="Q19" s="37" t="str">
        <f>IF(OR(M19="",I19&lt;&gt;"Approved"),"",M19-Methodology!$B$4)</f>
        <v/>
      </c>
      <c r="R19" s="44" t="str">
        <f>IF(A19="","",IF(AND(I19="Approved",F19="Within appetite"),"Risk now within appetite: acceptance may be unnecessary",IF(AND(I19="Approved",L19&lt;&gt;"",M19&lt;&gt;"",M19-L19&gt;Methodology!$B$6),"Exceeds maximum acceptance period",IF(AND(I19="Approved",J19=""),"Approver not named",""))))</f>
        <v/>
      </c>
      <c r="S19">
        <f>IF(A19="",0,IF(O19&lt;&gt;"Insufficient authority",0,IF(COUNTIFS('Exception Register'!$B$6:$B$45,Checks!$A$11,'Exception Register'!$C$6:$C$45,A19&amp;" ("&amp;B19&amp;")",'Exception Register'!$J$6:$J$45,"Valid")&gt;0,1,0)))</f>
        <v>0</v>
      </c>
      <c r="T19" t="str">
        <f>IF(A19="","",IF(COUNTIF($A$6:$A$105,A19)&gt;1,"Duplicate Acceptance ID",IF(I19&lt;&gt;"Approved","Not approved",IF(OR(B19="",COUNTIF('Risk Register'!$A$6:$A$105,B19)&lt;&gt;1),"Unknown or duplicate Risk ID",IF(OR(G19="",J19=""),"Approval details missing",IF(OR(NOT(ISNUMBER(L19)),NOT(ISNUMBER(M19))),"Decision or expiry date missing/invalid",IF(OR(L19&lt;=0,L19&gt;Methodology!$B$4,M19&lt;L19),"Invalid decision or expiry date",IF(M19&lt;Methodology!$B$4,"Expired",IF(M19-L19&gt;Methodology!$B$6,"Exceeds maximum acceptance period",IF(O19&lt;&gt;"OK","Authority not sufficient","Eligible"))))))))))</f>
        <v/>
      </c>
    </row>
    <row r="20" spans="1:20" x14ac:dyDescent="0.35">
      <c r="A20" s="35"/>
      <c r="B20" s="35"/>
      <c r="C20" s="44" t="str">
        <f>IF(B20="","",IFERROR(INDEX('Risk Register'!$B$6:$B$105,MATCH(B20,'Risk Register'!$A$6:$A$105,0)),"Unknown Risk ID"))</f>
        <v/>
      </c>
      <c r="D20" s="38" t="str">
        <f>IF(B20="","",IFERROR(INDEX('Risk Register'!$D$6:$D$105,MATCH(B20,'Risk Register'!$A$6:$A$105,0)),""))</f>
        <v/>
      </c>
      <c r="E20" s="37" t="str">
        <f>IF(B20="","",IFERROR(INDEX('Risk Register'!$O$6:$O$105,MATCH(B20,'Risk Register'!$A$6:$A$105,0)),""))</f>
        <v/>
      </c>
      <c r="F20" s="38" t="str">
        <f>IF(B20="","",IFERROR(INDEX('Risk Register'!$U$6:$U$105,MATCH(B20,'Risk Register'!$A$6:$A$105,0)),""))</f>
        <v/>
      </c>
      <c r="G20" s="24"/>
      <c r="H20" s="24"/>
      <c r="I20" s="35"/>
      <c r="J20" s="35"/>
      <c r="K20" s="35"/>
      <c r="L20" s="46"/>
      <c r="M20" s="46"/>
      <c r="N20" s="38" t="str">
        <f>IF(F20="","",IFERROR(INDEX(Methodology!$B$48:$B$50,MATCH(F20,Methodology!$A$48:$A$50,0)),""))</f>
        <v/>
      </c>
      <c r="O20" s="38" t="str">
        <f>IF(OR(I20&lt;&gt;"Approved",F20=""),"",IF(F20="Within appetite","Not in breach",IF(K20="","Authority level not set",IF(IFERROR(MATCH(K20,Methodology!$B$49:$B$50,0),0)&gt;=IFERROR(MATCH(N20,Methodology!$B$49:$B$50,0),99),"OK","Insufficient authority"))))</f>
        <v/>
      </c>
      <c r="P20" s="38" t="str">
        <f>IF(A20="","",IF(I20&lt;&gt;"Approved",IF(I20="","No decision",I20),IF(M20="","Approved - no expiry",IF(M20&lt;Methodology!$B$4,"Expired",IF(M20-Methodology!$B$4&lt;=Methodology!$B$5,"Expiring soon","Active")))))</f>
        <v/>
      </c>
      <c r="Q20" s="37" t="str">
        <f>IF(OR(M20="",I20&lt;&gt;"Approved"),"",M20-Methodology!$B$4)</f>
        <v/>
      </c>
      <c r="R20" s="44" t="str">
        <f>IF(A20="","",IF(AND(I20="Approved",F20="Within appetite"),"Risk now within appetite: acceptance may be unnecessary",IF(AND(I20="Approved",L20&lt;&gt;"",M20&lt;&gt;"",M20-L20&gt;Methodology!$B$6),"Exceeds maximum acceptance period",IF(AND(I20="Approved",J20=""),"Approver not named",""))))</f>
        <v/>
      </c>
      <c r="S20">
        <f>IF(A20="",0,IF(O20&lt;&gt;"Insufficient authority",0,IF(COUNTIFS('Exception Register'!$B$6:$B$45,Checks!$A$11,'Exception Register'!$C$6:$C$45,A20&amp;" ("&amp;B20&amp;")",'Exception Register'!$J$6:$J$45,"Valid")&gt;0,1,0)))</f>
        <v>0</v>
      </c>
      <c r="T20" t="str">
        <f>IF(A20="","",IF(COUNTIF($A$6:$A$105,A20)&gt;1,"Duplicate Acceptance ID",IF(I20&lt;&gt;"Approved","Not approved",IF(OR(B20="",COUNTIF('Risk Register'!$A$6:$A$105,B20)&lt;&gt;1),"Unknown or duplicate Risk ID",IF(OR(G20="",J20=""),"Approval details missing",IF(OR(NOT(ISNUMBER(L20)),NOT(ISNUMBER(M20))),"Decision or expiry date missing/invalid",IF(OR(L20&lt;=0,L20&gt;Methodology!$B$4,M20&lt;L20),"Invalid decision or expiry date",IF(M20&lt;Methodology!$B$4,"Expired",IF(M20-L20&gt;Methodology!$B$6,"Exceeds maximum acceptance period",IF(O20&lt;&gt;"OK","Authority not sufficient","Eligible"))))))))))</f>
        <v/>
      </c>
    </row>
    <row r="21" spans="1:20" x14ac:dyDescent="0.35">
      <c r="A21" s="35"/>
      <c r="B21" s="35"/>
      <c r="C21" s="44" t="str">
        <f>IF(B21="","",IFERROR(INDEX('Risk Register'!$B$6:$B$105,MATCH(B21,'Risk Register'!$A$6:$A$105,0)),"Unknown Risk ID"))</f>
        <v/>
      </c>
      <c r="D21" s="38" t="str">
        <f>IF(B21="","",IFERROR(INDEX('Risk Register'!$D$6:$D$105,MATCH(B21,'Risk Register'!$A$6:$A$105,0)),""))</f>
        <v/>
      </c>
      <c r="E21" s="37" t="str">
        <f>IF(B21="","",IFERROR(INDEX('Risk Register'!$O$6:$O$105,MATCH(B21,'Risk Register'!$A$6:$A$105,0)),""))</f>
        <v/>
      </c>
      <c r="F21" s="38" t="str">
        <f>IF(B21="","",IFERROR(INDEX('Risk Register'!$U$6:$U$105,MATCH(B21,'Risk Register'!$A$6:$A$105,0)),""))</f>
        <v/>
      </c>
      <c r="G21" s="24"/>
      <c r="H21" s="24"/>
      <c r="I21" s="35"/>
      <c r="J21" s="35"/>
      <c r="K21" s="35"/>
      <c r="L21" s="46"/>
      <c r="M21" s="46"/>
      <c r="N21" s="38" t="str">
        <f>IF(F21="","",IFERROR(INDEX(Methodology!$B$48:$B$50,MATCH(F21,Methodology!$A$48:$A$50,0)),""))</f>
        <v/>
      </c>
      <c r="O21" s="38" t="str">
        <f>IF(OR(I21&lt;&gt;"Approved",F21=""),"",IF(F21="Within appetite","Not in breach",IF(K21="","Authority level not set",IF(IFERROR(MATCH(K21,Methodology!$B$49:$B$50,0),0)&gt;=IFERROR(MATCH(N21,Methodology!$B$49:$B$50,0),99),"OK","Insufficient authority"))))</f>
        <v/>
      </c>
      <c r="P21" s="38" t="str">
        <f>IF(A21="","",IF(I21&lt;&gt;"Approved",IF(I21="","No decision",I21),IF(M21="","Approved - no expiry",IF(M21&lt;Methodology!$B$4,"Expired",IF(M21-Methodology!$B$4&lt;=Methodology!$B$5,"Expiring soon","Active")))))</f>
        <v/>
      </c>
      <c r="Q21" s="37" t="str">
        <f>IF(OR(M21="",I21&lt;&gt;"Approved"),"",M21-Methodology!$B$4)</f>
        <v/>
      </c>
      <c r="R21" s="44" t="str">
        <f>IF(A21="","",IF(AND(I21="Approved",F21="Within appetite"),"Risk now within appetite: acceptance may be unnecessary",IF(AND(I21="Approved",L21&lt;&gt;"",M21&lt;&gt;"",M21-L21&gt;Methodology!$B$6),"Exceeds maximum acceptance period",IF(AND(I21="Approved",J21=""),"Approver not named",""))))</f>
        <v/>
      </c>
      <c r="S21">
        <f>IF(A21="",0,IF(O21&lt;&gt;"Insufficient authority",0,IF(COUNTIFS('Exception Register'!$B$6:$B$45,Checks!$A$11,'Exception Register'!$C$6:$C$45,A21&amp;" ("&amp;B21&amp;")",'Exception Register'!$J$6:$J$45,"Valid")&gt;0,1,0)))</f>
        <v>0</v>
      </c>
      <c r="T21" t="str">
        <f>IF(A21="","",IF(COUNTIF($A$6:$A$105,A21)&gt;1,"Duplicate Acceptance ID",IF(I21&lt;&gt;"Approved","Not approved",IF(OR(B21="",COUNTIF('Risk Register'!$A$6:$A$105,B21)&lt;&gt;1),"Unknown or duplicate Risk ID",IF(OR(G21="",J21=""),"Approval details missing",IF(OR(NOT(ISNUMBER(L21)),NOT(ISNUMBER(M21))),"Decision or expiry date missing/invalid",IF(OR(L21&lt;=0,L21&gt;Methodology!$B$4,M21&lt;L21),"Invalid decision or expiry date",IF(M21&lt;Methodology!$B$4,"Expired",IF(M21-L21&gt;Methodology!$B$6,"Exceeds maximum acceptance period",IF(O21&lt;&gt;"OK","Authority not sufficient","Eligible"))))))))))</f>
        <v/>
      </c>
    </row>
    <row r="22" spans="1:20" x14ac:dyDescent="0.35">
      <c r="A22" s="35"/>
      <c r="B22" s="35"/>
      <c r="C22" s="44" t="str">
        <f>IF(B22="","",IFERROR(INDEX('Risk Register'!$B$6:$B$105,MATCH(B22,'Risk Register'!$A$6:$A$105,0)),"Unknown Risk ID"))</f>
        <v/>
      </c>
      <c r="D22" s="38" t="str">
        <f>IF(B22="","",IFERROR(INDEX('Risk Register'!$D$6:$D$105,MATCH(B22,'Risk Register'!$A$6:$A$105,0)),""))</f>
        <v/>
      </c>
      <c r="E22" s="37" t="str">
        <f>IF(B22="","",IFERROR(INDEX('Risk Register'!$O$6:$O$105,MATCH(B22,'Risk Register'!$A$6:$A$105,0)),""))</f>
        <v/>
      </c>
      <c r="F22" s="38" t="str">
        <f>IF(B22="","",IFERROR(INDEX('Risk Register'!$U$6:$U$105,MATCH(B22,'Risk Register'!$A$6:$A$105,0)),""))</f>
        <v/>
      </c>
      <c r="G22" s="24"/>
      <c r="H22" s="24"/>
      <c r="I22" s="35"/>
      <c r="J22" s="35"/>
      <c r="K22" s="35"/>
      <c r="L22" s="46"/>
      <c r="M22" s="46"/>
      <c r="N22" s="38" t="str">
        <f>IF(F22="","",IFERROR(INDEX(Methodology!$B$48:$B$50,MATCH(F22,Methodology!$A$48:$A$50,0)),""))</f>
        <v/>
      </c>
      <c r="O22" s="38" t="str">
        <f>IF(OR(I22&lt;&gt;"Approved",F22=""),"",IF(F22="Within appetite","Not in breach",IF(K22="","Authority level not set",IF(IFERROR(MATCH(K22,Methodology!$B$49:$B$50,0),0)&gt;=IFERROR(MATCH(N22,Methodology!$B$49:$B$50,0),99),"OK","Insufficient authority"))))</f>
        <v/>
      </c>
      <c r="P22" s="38" t="str">
        <f>IF(A22="","",IF(I22&lt;&gt;"Approved",IF(I22="","No decision",I22),IF(M22="","Approved - no expiry",IF(M22&lt;Methodology!$B$4,"Expired",IF(M22-Methodology!$B$4&lt;=Methodology!$B$5,"Expiring soon","Active")))))</f>
        <v/>
      </c>
      <c r="Q22" s="37" t="str">
        <f>IF(OR(M22="",I22&lt;&gt;"Approved"),"",M22-Methodology!$B$4)</f>
        <v/>
      </c>
      <c r="R22" s="44" t="str">
        <f>IF(A22="","",IF(AND(I22="Approved",F22="Within appetite"),"Risk now within appetite: acceptance may be unnecessary",IF(AND(I22="Approved",L22&lt;&gt;"",M22&lt;&gt;"",M22-L22&gt;Methodology!$B$6),"Exceeds maximum acceptance period",IF(AND(I22="Approved",J22=""),"Approver not named",""))))</f>
        <v/>
      </c>
      <c r="S22">
        <f>IF(A22="",0,IF(O22&lt;&gt;"Insufficient authority",0,IF(COUNTIFS('Exception Register'!$B$6:$B$45,Checks!$A$11,'Exception Register'!$C$6:$C$45,A22&amp;" ("&amp;B22&amp;")",'Exception Register'!$J$6:$J$45,"Valid")&gt;0,1,0)))</f>
        <v>0</v>
      </c>
      <c r="T22" t="str">
        <f>IF(A22="","",IF(COUNTIF($A$6:$A$105,A22)&gt;1,"Duplicate Acceptance ID",IF(I22&lt;&gt;"Approved","Not approved",IF(OR(B22="",COUNTIF('Risk Register'!$A$6:$A$105,B22)&lt;&gt;1),"Unknown or duplicate Risk ID",IF(OR(G22="",J22=""),"Approval details missing",IF(OR(NOT(ISNUMBER(L22)),NOT(ISNUMBER(M22))),"Decision or expiry date missing/invalid",IF(OR(L22&lt;=0,L22&gt;Methodology!$B$4,M22&lt;L22),"Invalid decision or expiry date",IF(M22&lt;Methodology!$B$4,"Expired",IF(M22-L22&gt;Methodology!$B$6,"Exceeds maximum acceptance period",IF(O22&lt;&gt;"OK","Authority not sufficient","Eligible"))))))))))</f>
        <v/>
      </c>
    </row>
    <row r="23" spans="1:20" x14ac:dyDescent="0.35">
      <c r="A23" s="35"/>
      <c r="B23" s="35"/>
      <c r="C23" s="44" t="str">
        <f>IF(B23="","",IFERROR(INDEX('Risk Register'!$B$6:$B$105,MATCH(B23,'Risk Register'!$A$6:$A$105,0)),"Unknown Risk ID"))</f>
        <v/>
      </c>
      <c r="D23" s="38" t="str">
        <f>IF(B23="","",IFERROR(INDEX('Risk Register'!$D$6:$D$105,MATCH(B23,'Risk Register'!$A$6:$A$105,0)),""))</f>
        <v/>
      </c>
      <c r="E23" s="37" t="str">
        <f>IF(B23="","",IFERROR(INDEX('Risk Register'!$O$6:$O$105,MATCH(B23,'Risk Register'!$A$6:$A$105,0)),""))</f>
        <v/>
      </c>
      <c r="F23" s="38" t="str">
        <f>IF(B23="","",IFERROR(INDEX('Risk Register'!$U$6:$U$105,MATCH(B23,'Risk Register'!$A$6:$A$105,0)),""))</f>
        <v/>
      </c>
      <c r="G23" s="24"/>
      <c r="H23" s="24"/>
      <c r="I23" s="35"/>
      <c r="J23" s="35"/>
      <c r="K23" s="35"/>
      <c r="L23" s="46"/>
      <c r="M23" s="46"/>
      <c r="N23" s="38" t="str">
        <f>IF(F23="","",IFERROR(INDEX(Methodology!$B$48:$B$50,MATCH(F23,Methodology!$A$48:$A$50,0)),""))</f>
        <v/>
      </c>
      <c r="O23" s="38" t="str">
        <f>IF(OR(I23&lt;&gt;"Approved",F23=""),"",IF(F23="Within appetite","Not in breach",IF(K23="","Authority level not set",IF(IFERROR(MATCH(K23,Methodology!$B$49:$B$50,0),0)&gt;=IFERROR(MATCH(N23,Methodology!$B$49:$B$50,0),99),"OK","Insufficient authority"))))</f>
        <v/>
      </c>
      <c r="P23" s="38" t="str">
        <f>IF(A23="","",IF(I23&lt;&gt;"Approved",IF(I23="","No decision",I23),IF(M23="","Approved - no expiry",IF(M23&lt;Methodology!$B$4,"Expired",IF(M23-Methodology!$B$4&lt;=Methodology!$B$5,"Expiring soon","Active")))))</f>
        <v/>
      </c>
      <c r="Q23" s="37" t="str">
        <f>IF(OR(M23="",I23&lt;&gt;"Approved"),"",M23-Methodology!$B$4)</f>
        <v/>
      </c>
      <c r="R23" s="44" t="str">
        <f>IF(A23="","",IF(AND(I23="Approved",F23="Within appetite"),"Risk now within appetite: acceptance may be unnecessary",IF(AND(I23="Approved",L23&lt;&gt;"",M23&lt;&gt;"",M23-L23&gt;Methodology!$B$6),"Exceeds maximum acceptance period",IF(AND(I23="Approved",J23=""),"Approver not named",""))))</f>
        <v/>
      </c>
      <c r="S23">
        <f>IF(A23="",0,IF(O23&lt;&gt;"Insufficient authority",0,IF(COUNTIFS('Exception Register'!$B$6:$B$45,Checks!$A$11,'Exception Register'!$C$6:$C$45,A23&amp;" ("&amp;B23&amp;")",'Exception Register'!$J$6:$J$45,"Valid")&gt;0,1,0)))</f>
        <v>0</v>
      </c>
      <c r="T23" t="str">
        <f>IF(A23="","",IF(COUNTIF($A$6:$A$105,A23)&gt;1,"Duplicate Acceptance ID",IF(I23&lt;&gt;"Approved","Not approved",IF(OR(B23="",COUNTIF('Risk Register'!$A$6:$A$105,B23)&lt;&gt;1),"Unknown or duplicate Risk ID",IF(OR(G23="",J23=""),"Approval details missing",IF(OR(NOT(ISNUMBER(L23)),NOT(ISNUMBER(M23))),"Decision or expiry date missing/invalid",IF(OR(L23&lt;=0,L23&gt;Methodology!$B$4,M23&lt;L23),"Invalid decision or expiry date",IF(M23&lt;Methodology!$B$4,"Expired",IF(M23-L23&gt;Methodology!$B$6,"Exceeds maximum acceptance period",IF(O23&lt;&gt;"OK","Authority not sufficient","Eligible"))))))))))</f>
        <v/>
      </c>
    </row>
    <row r="24" spans="1:20" x14ac:dyDescent="0.35">
      <c r="A24" s="35"/>
      <c r="B24" s="35"/>
      <c r="C24" s="44" t="str">
        <f>IF(B24="","",IFERROR(INDEX('Risk Register'!$B$6:$B$105,MATCH(B24,'Risk Register'!$A$6:$A$105,0)),"Unknown Risk ID"))</f>
        <v/>
      </c>
      <c r="D24" s="38" t="str">
        <f>IF(B24="","",IFERROR(INDEX('Risk Register'!$D$6:$D$105,MATCH(B24,'Risk Register'!$A$6:$A$105,0)),""))</f>
        <v/>
      </c>
      <c r="E24" s="37" t="str">
        <f>IF(B24="","",IFERROR(INDEX('Risk Register'!$O$6:$O$105,MATCH(B24,'Risk Register'!$A$6:$A$105,0)),""))</f>
        <v/>
      </c>
      <c r="F24" s="38" t="str">
        <f>IF(B24="","",IFERROR(INDEX('Risk Register'!$U$6:$U$105,MATCH(B24,'Risk Register'!$A$6:$A$105,0)),""))</f>
        <v/>
      </c>
      <c r="G24" s="24"/>
      <c r="H24" s="24"/>
      <c r="I24" s="35"/>
      <c r="J24" s="35"/>
      <c r="K24" s="35"/>
      <c r="L24" s="46"/>
      <c r="M24" s="46"/>
      <c r="N24" s="38" t="str">
        <f>IF(F24="","",IFERROR(INDEX(Methodology!$B$48:$B$50,MATCH(F24,Methodology!$A$48:$A$50,0)),""))</f>
        <v/>
      </c>
      <c r="O24" s="38" t="str">
        <f>IF(OR(I24&lt;&gt;"Approved",F24=""),"",IF(F24="Within appetite","Not in breach",IF(K24="","Authority level not set",IF(IFERROR(MATCH(K24,Methodology!$B$49:$B$50,0),0)&gt;=IFERROR(MATCH(N24,Methodology!$B$49:$B$50,0),99),"OK","Insufficient authority"))))</f>
        <v/>
      </c>
      <c r="P24" s="38" t="str">
        <f>IF(A24="","",IF(I24&lt;&gt;"Approved",IF(I24="","No decision",I24),IF(M24="","Approved - no expiry",IF(M24&lt;Methodology!$B$4,"Expired",IF(M24-Methodology!$B$4&lt;=Methodology!$B$5,"Expiring soon","Active")))))</f>
        <v/>
      </c>
      <c r="Q24" s="37" t="str">
        <f>IF(OR(M24="",I24&lt;&gt;"Approved"),"",M24-Methodology!$B$4)</f>
        <v/>
      </c>
      <c r="R24" s="44" t="str">
        <f>IF(A24="","",IF(AND(I24="Approved",F24="Within appetite"),"Risk now within appetite: acceptance may be unnecessary",IF(AND(I24="Approved",L24&lt;&gt;"",M24&lt;&gt;"",M24-L24&gt;Methodology!$B$6),"Exceeds maximum acceptance period",IF(AND(I24="Approved",J24=""),"Approver not named",""))))</f>
        <v/>
      </c>
      <c r="S24">
        <f>IF(A24="",0,IF(O24&lt;&gt;"Insufficient authority",0,IF(COUNTIFS('Exception Register'!$B$6:$B$45,Checks!$A$11,'Exception Register'!$C$6:$C$45,A24&amp;" ("&amp;B24&amp;")",'Exception Register'!$J$6:$J$45,"Valid")&gt;0,1,0)))</f>
        <v>0</v>
      </c>
      <c r="T24" t="str">
        <f>IF(A24="","",IF(COUNTIF($A$6:$A$105,A24)&gt;1,"Duplicate Acceptance ID",IF(I24&lt;&gt;"Approved","Not approved",IF(OR(B24="",COUNTIF('Risk Register'!$A$6:$A$105,B24)&lt;&gt;1),"Unknown or duplicate Risk ID",IF(OR(G24="",J24=""),"Approval details missing",IF(OR(NOT(ISNUMBER(L24)),NOT(ISNUMBER(M24))),"Decision or expiry date missing/invalid",IF(OR(L24&lt;=0,L24&gt;Methodology!$B$4,M24&lt;L24),"Invalid decision or expiry date",IF(M24&lt;Methodology!$B$4,"Expired",IF(M24-L24&gt;Methodology!$B$6,"Exceeds maximum acceptance period",IF(O24&lt;&gt;"OK","Authority not sufficient","Eligible"))))))))))</f>
        <v/>
      </c>
    </row>
    <row r="25" spans="1:20" x14ac:dyDescent="0.35">
      <c r="A25" s="35"/>
      <c r="B25" s="35"/>
      <c r="C25" s="44" t="str">
        <f>IF(B25="","",IFERROR(INDEX('Risk Register'!$B$6:$B$105,MATCH(B25,'Risk Register'!$A$6:$A$105,0)),"Unknown Risk ID"))</f>
        <v/>
      </c>
      <c r="D25" s="38" t="str">
        <f>IF(B25="","",IFERROR(INDEX('Risk Register'!$D$6:$D$105,MATCH(B25,'Risk Register'!$A$6:$A$105,0)),""))</f>
        <v/>
      </c>
      <c r="E25" s="37" t="str">
        <f>IF(B25="","",IFERROR(INDEX('Risk Register'!$O$6:$O$105,MATCH(B25,'Risk Register'!$A$6:$A$105,0)),""))</f>
        <v/>
      </c>
      <c r="F25" s="38" t="str">
        <f>IF(B25="","",IFERROR(INDEX('Risk Register'!$U$6:$U$105,MATCH(B25,'Risk Register'!$A$6:$A$105,0)),""))</f>
        <v/>
      </c>
      <c r="G25" s="24"/>
      <c r="H25" s="24"/>
      <c r="I25" s="35"/>
      <c r="J25" s="35"/>
      <c r="K25" s="35"/>
      <c r="L25" s="46"/>
      <c r="M25" s="46"/>
      <c r="N25" s="38" t="str">
        <f>IF(F25="","",IFERROR(INDEX(Methodology!$B$48:$B$50,MATCH(F25,Methodology!$A$48:$A$50,0)),""))</f>
        <v/>
      </c>
      <c r="O25" s="38" t="str">
        <f>IF(OR(I25&lt;&gt;"Approved",F25=""),"",IF(F25="Within appetite","Not in breach",IF(K25="","Authority level not set",IF(IFERROR(MATCH(K25,Methodology!$B$49:$B$50,0),0)&gt;=IFERROR(MATCH(N25,Methodology!$B$49:$B$50,0),99),"OK","Insufficient authority"))))</f>
        <v/>
      </c>
      <c r="P25" s="38" t="str">
        <f>IF(A25="","",IF(I25&lt;&gt;"Approved",IF(I25="","No decision",I25),IF(M25="","Approved - no expiry",IF(M25&lt;Methodology!$B$4,"Expired",IF(M25-Methodology!$B$4&lt;=Methodology!$B$5,"Expiring soon","Active")))))</f>
        <v/>
      </c>
      <c r="Q25" s="37" t="str">
        <f>IF(OR(M25="",I25&lt;&gt;"Approved"),"",M25-Methodology!$B$4)</f>
        <v/>
      </c>
      <c r="R25" s="44" t="str">
        <f>IF(A25="","",IF(AND(I25="Approved",F25="Within appetite"),"Risk now within appetite: acceptance may be unnecessary",IF(AND(I25="Approved",L25&lt;&gt;"",M25&lt;&gt;"",M25-L25&gt;Methodology!$B$6),"Exceeds maximum acceptance period",IF(AND(I25="Approved",J25=""),"Approver not named",""))))</f>
        <v/>
      </c>
      <c r="S25">
        <f>IF(A25="",0,IF(O25&lt;&gt;"Insufficient authority",0,IF(COUNTIFS('Exception Register'!$B$6:$B$45,Checks!$A$11,'Exception Register'!$C$6:$C$45,A25&amp;" ("&amp;B25&amp;")",'Exception Register'!$J$6:$J$45,"Valid")&gt;0,1,0)))</f>
        <v>0</v>
      </c>
      <c r="T25" t="str">
        <f>IF(A25="","",IF(COUNTIF($A$6:$A$105,A25)&gt;1,"Duplicate Acceptance ID",IF(I25&lt;&gt;"Approved","Not approved",IF(OR(B25="",COUNTIF('Risk Register'!$A$6:$A$105,B25)&lt;&gt;1),"Unknown or duplicate Risk ID",IF(OR(G25="",J25=""),"Approval details missing",IF(OR(NOT(ISNUMBER(L25)),NOT(ISNUMBER(M25))),"Decision or expiry date missing/invalid",IF(OR(L25&lt;=0,L25&gt;Methodology!$B$4,M25&lt;L25),"Invalid decision or expiry date",IF(M25&lt;Methodology!$B$4,"Expired",IF(M25-L25&gt;Methodology!$B$6,"Exceeds maximum acceptance period",IF(O25&lt;&gt;"OK","Authority not sufficient","Eligible"))))))))))</f>
        <v/>
      </c>
    </row>
    <row r="26" spans="1:20" x14ac:dyDescent="0.35">
      <c r="A26" s="35"/>
      <c r="B26" s="35"/>
      <c r="C26" s="44" t="str">
        <f>IF(B26="","",IFERROR(INDEX('Risk Register'!$B$6:$B$105,MATCH(B26,'Risk Register'!$A$6:$A$105,0)),"Unknown Risk ID"))</f>
        <v/>
      </c>
      <c r="D26" s="38" t="str">
        <f>IF(B26="","",IFERROR(INDEX('Risk Register'!$D$6:$D$105,MATCH(B26,'Risk Register'!$A$6:$A$105,0)),""))</f>
        <v/>
      </c>
      <c r="E26" s="37" t="str">
        <f>IF(B26="","",IFERROR(INDEX('Risk Register'!$O$6:$O$105,MATCH(B26,'Risk Register'!$A$6:$A$105,0)),""))</f>
        <v/>
      </c>
      <c r="F26" s="38" t="str">
        <f>IF(B26="","",IFERROR(INDEX('Risk Register'!$U$6:$U$105,MATCH(B26,'Risk Register'!$A$6:$A$105,0)),""))</f>
        <v/>
      </c>
      <c r="G26" s="24"/>
      <c r="H26" s="24"/>
      <c r="I26" s="35"/>
      <c r="J26" s="35"/>
      <c r="K26" s="35"/>
      <c r="L26" s="46"/>
      <c r="M26" s="46"/>
      <c r="N26" s="38" t="str">
        <f>IF(F26="","",IFERROR(INDEX(Methodology!$B$48:$B$50,MATCH(F26,Methodology!$A$48:$A$50,0)),""))</f>
        <v/>
      </c>
      <c r="O26" s="38" t="str">
        <f>IF(OR(I26&lt;&gt;"Approved",F26=""),"",IF(F26="Within appetite","Not in breach",IF(K26="","Authority level not set",IF(IFERROR(MATCH(K26,Methodology!$B$49:$B$50,0),0)&gt;=IFERROR(MATCH(N26,Methodology!$B$49:$B$50,0),99),"OK","Insufficient authority"))))</f>
        <v/>
      </c>
      <c r="P26" s="38" t="str">
        <f>IF(A26="","",IF(I26&lt;&gt;"Approved",IF(I26="","No decision",I26),IF(M26="","Approved - no expiry",IF(M26&lt;Methodology!$B$4,"Expired",IF(M26-Methodology!$B$4&lt;=Methodology!$B$5,"Expiring soon","Active")))))</f>
        <v/>
      </c>
      <c r="Q26" s="37" t="str">
        <f>IF(OR(M26="",I26&lt;&gt;"Approved"),"",M26-Methodology!$B$4)</f>
        <v/>
      </c>
      <c r="R26" s="44" t="str">
        <f>IF(A26="","",IF(AND(I26="Approved",F26="Within appetite"),"Risk now within appetite: acceptance may be unnecessary",IF(AND(I26="Approved",L26&lt;&gt;"",M26&lt;&gt;"",M26-L26&gt;Methodology!$B$6),"Exceeds maximum acceptance period",IF(AND(I26="Approved",J26=""),"Approver not named",""))))</f>
        <v/>
      </c>
      <c r="S26">
        <f>IF(A26="",0,IF(O26&lt;&gt;"Insufficient authority",0,IF(COUNTIFS('Exception Register'!$B$6:$B$45,Checks!$A$11,'Exception Register'!$C$6:$C$45,A26&amp;" ("&amp;B26&amp;")",'Exception Register'!$J$6:$J$45,"Valid")&gt;0,1,0)))</f>
        <v>0</v>
      </c>
      <c r="T26" t="str">
        <f>IF(A26="","",IF(COUNTIF($A$6:$A$105,A26)&gt;1,"Duplicate Acceptance ID",IF(I26&lt;&gt;"Approved","Not approved",IF(OR(B26="",COUNTIF('Risk Register'!$A$6:$A$105,B26)&lt;&gt;1),"Unknown or duplicate Risk ID",IF(OR(G26="",J26=""),"Approval details missing",IF(OR(NOT(ISNUMBER(L26)),NOT(ISNUMBER(M26))),"Decision or expiry date missing/invalid",IF(OR(L26&lt;=0,L26&gt;Methodology!$B$4,M26&lt;L26),"Invalid decision or expiry date",IF(M26&lt;Methodology!$B$4,"Expired",IF(M26-L26&gt;Methodology!$B$6,"Exceeds maximum acceptance period",IF(O26&lt;&gt;"OK","Authority not sufficient","Eligible"))))))))))</f>
        <v/>
      </c>
    </row>
    <row r="27" spans="1:20" x14ac:dyDescent="0.35">
      <c r="A27" s="35"/>
      <c r="B27" s="35"/>
      <c r="C27" s="44" t="str">
        <f>IF(B27="","",IFERROR(INDEX('Risk Register'!$B$6:$B$105,MATCH(B27,'Risk Register'!$A$6:$A$105,0)),"Unknown Risk ID"))</f>
        <v/>
      </c>
      <c r="D27" s="38" t="str">
        <f>IF(B27="","",IFERROR(INDEX('Risk Register'!$D$6:$D$105,MATCH(B27,'Risk Register'!$A$6:$A$105,0)),""))</f>
        <v/>
      </c>
      <c r="E27" s="37" t="str">
        <f>IF(B27="","",IFERROR(INDEX('Risk Register'!$O$6:$O$105,MATCH(B27,'Risk Register'!$A$6:$A$105,0)),""))</f>
        <v/>
      </c>
      <c r="F27" s="38" t="str">
        <f>IF(B27="","",IFERROR(INDEX('Risk Register'!$U$6:$U$105,MATCH(B27,'Risk Register'!$A$6:$A$105,0)),""))</f>
        <v/>
      </c>
      <c r="G27" s="24"/>
      <c r="H27" s="24"/>
      <c r="I27" s="35"/>
      <c r="J27" s="35"/>
      <c r="K27" s="35"/>
      <c r="L27" s="46"/>
      <c r="M27" s="46"/>
      <c r="N27" s="38" t="str">
        <f>IF(F27="","",IFERROR(INDEX(Methodology!$B$48:$B$50,MATCH(F27,Methodology!$A$48:$A$50,0)),""))</f>
        <v/>
      </c>
      <c r="O27" s="38" t="str">
        <f>IF(OR(I27&lt;&gt;"Approved",F27=""),"",IF(F27="Within appetite","Not in breach",IF(K27="","Authority level not set",IF(IFERROR(MATCH(K27,Methodology!$B$49:$B$50,0),0)&gt;=IFERROR(MATCH(N27,Methodology!$B$49:$B$50,0),99),"OK","Insufficient authority"))))</f>
        <v/>
      </c>
      <c r="P27" s="38" t="str">
        <f>IF(A27="","",IF(I27&lt;&gt;"Approved",IF(I27="","No decision",I27),IF(M27="","Approved - no expiry",IF(M27&lt;Methodology!$B$4,"Expired",IF(M27-Methodology!$B$4&lt;=Methodology!$B$5,"Expiring soon","Active")))))</f>
        <v/>
      </c>
      <c r="Q27" s="37" t="str">
        <f>IF(OR(M27="",I27&lt;&gt;"Approved"),"",M27-Methodology!$B$4)</f>
        <v/>
      </c>
      <c r="R27" s="44" t="str">
        <f>IF(A27="","",IF(AND(I27="Approved",F27="Within appetite"),"Risk now within appetite: acceptance may be unnecessary",IF(AND(I27="Approved",L27&lt;&gt;"",M27&lt;&gt;"",M27-L27&gt;Methodology!$B$6),"Exceeds maximum acceptance period",IF(AND(I27="Approved",J27=""),"Approver not named",""))))</f>
        <v/>
      </c>
      <c r="S27">
        <f>IF(A27="",0,IF(O27&lt;&gt;"Insufficient authority",0,IF(COUNTIFS('Exception Register'!$B$6:$B$45,Checks!$A$11,'Exception Register'!$C$6:$C$45,A27&amp;" ("&amp;B27&amp;")",'Exception Register'!$J$6:$J$45,"Valid")&gt;0,1,0)))</f>
        <v>0</v>
      </c>
      <c r="T27" t="str">
        <f>IF(A27="","",IF(COUNTIF($A$6:$A$105,A27)&gt;1,"Duplicate Acceptance ID",IF(I27&lt;&gt;"Approved","Not approved",IF(OR(B27="",COUNTIF('Risk Register'!$A$6:$A$105,B27)&lt;&gt;1),"Unknown or duplicate Risk ID",IF(OR(G27="",J27=""),"Approval details missing",IF(OR(NOT(ISNUMBER(L27)),NOT(ISNUMBER(M27))),"Decision or expiry date missing/invalid",IF(OR(L27&lt;=0,L27&gt;Methodology!$B$4,M27&lt;L27),"Invalid decision or expiry date",IF(M27&lt;Methodology!$B$4,"Expired",IF(M27-L27&gt;Methodology!$B$6,"Exceeds maximum acceptance period",IF(O27&lt;&gt;"OK","Authority not sufficient","Eligible"))))))))))</f>
        <v/>
      </c>
    </row>
    <row r="28" spans="1:20" x14ac:dyDescent="0.35">
      <c r="A28" s="35"/>
      <c r="B28" s="35"/>
      <c r="C28" s="44" t="str">
        <f>IF(B28="","",IFERROR(INDEX('Risk Register'!$B$6:$B$105,MATCH(B28,'Risk Register'!$A$6:$A$105,0)),"Unknown Risk ID"))</f>
        <v/>
      </c>
      <c r="D28" s="38" t="str">
        <f>IF(B28="","",IFERROR(INDEX('Risk Register'!$D$6:$D$105,MATCH(B28,'Risk Register'!$A$6:$A$105,0)),""))</f>
        <v/>
      </c>
      <c r="E28" s="37" t="str">
        <f>IF(B28="","",IFERROR(INDEX('Risk Register'!$O$6:$O$105,MATCH(B28,'Risk Register'!$A$6:$A$105,0)),""))</f>
        <v/>
      </c>
      <c r="F28" s="38" t="str">
        <f>IF(B28="","",IFERROR(INDEX('Risk Register'!$U$6:$U$105,MATCH(B28,'Risk Register'!$A$6:$A$105,0)),""))</f>
        <v/>
      </c>
      <c r="G28" s="24"/>
      <c r="H28" s="24"/>
      <c r="I28" s="35"/>
      <c r="J28" s="35"/>
      <c r="K28" s="35"/>
      <c r="L28" s="46"/>
      <c r="M28" s="46"/>
      <c r="N28" s="38" t="str">
        <f>IF(F28="","",IFERROR(INDEX(Methodology!$B$48:$B$50,MATCH(F28,Methodology!$A$48:$A$50,0)),""))</f>
        <v/>
      </c>
      <c r="O28" s="38" t="str">
        <f>IF(OR(I28&lt;&gt;"Approved",F28=""),"",IF(F28="Within appetite","Not in breach",IF(K28="","Authority level not set",IF(IFERROR(MATCH(K28,Methodology!$B$49:$B$50,0),0)&gt;=IFERROR(MATCH(N28,Methodology!$B$49:$B$50,0),99),"OK","Insufficient authority"))))</f>
        <v/>
      </c>
      <c r="P28" s="38" t="str">
        <f>IF(A28="","",IF(I28&lt;&gt;"Approved",IF(I28="","No decision",I28),IF(M28="","Approved - no expiry",IF(M28&lt;Methodology!$B$4,"Expired",IF(M28-Methodology!$B$4&lt;=Methodology!$B$5,"Expiring soon","Active")))))</f>
        <v/>
      </c>
      <c r="Q28" s="37" t="str">
        <f>IF(OR(M28="",I28&lt;&gt;"Approved"),"",M28-Methodology!$B$4)</f>
        <v/>
      </c>
      <c r="R28" s="44" t="str">
        <f>IF(A28="","",IF(AND(I28="Approved",F28="Within appetite"),"Risk now within appetite: acceptance may be unnecessary",IF(AND(I28="Approved",L28&lt;&gt;"",M28&lt;&gt;"",M28-L28&gt;Methodology!$B$6),"Exceeds maximum acceptance period",IF(AND(I28="Approved",J28=""),"Approver not named",""))))</f>
        <v/>
      </c>
      <c r="S28">
        <f>IF(A28="",0,IF(O28&lt;&gt;"Insufficient authority",0,IF(COUNTIFS('Exception Register'!$B$6:$B$45,Checks!$A$11,'Exception Register'!$C$6:$C$45,A28&amp;" ("&amp;B28&amp;")",'Exception Register'!$J$6:$J$45,"Valid")&gt;0,1,0)))</f>
        <v>0</v>
      </c>
      <c r="T28" t="str">
        <f>IF(A28="","",IF(COUNTIF($A$6:$A$105,A28)&gt;1,"Duplicate Acceptance ID",IF(I28&lt;&gt;"Approved","Not approved",IF(OR(B28="",COUNTIF('Risk Register'!$A$6:$A$105,B28)&lt;&gt;1),"Unknown or duplicate Risk ID",IF(OR(G28="",J28=""),"Approval details missing",IF(OR(NOT(ISNUMBER(L28)),NOT(ISNUMBER(M28))),"Decision or expiry date missing/invalid",IF(OR(L28&lt;=0,L28&gt;Methodology!$B$4,M28&lt;L28),"Invalid decision or expiry date",IF(M28&lt;Methodology!$B$4,"Expired",IF(M28-L28&gt;Methodology!$B$6,"Exceeds maximum acceptance period",IF(O28&lt;&gt;"OK","Authority not sufficient","Eligible"))))))))))</f>
        <v/>
      </c>
    </row>
    <row r="29" spans="1:20" x14ac:dyDescent="0.35">
      <c r="A29" s="35"/>
      <c r="B29" s="35"/>
      <c r="C29" s="44" t="str">
        <f>IF(B29="","",IFERROR(INDEX('Risk Register'!$B$6:$B$105,MATCH(B29,'Risk Register'!$A$6:$A$105,0)),"Unknown Risk ID"))</f>
        <v/>
      </c>
      <c r="D29" s="38" t="str">
        <f>IF(B29="","",IFERROR(INDEX('Risk Register'!$D$6:$D$105,MATCH(B29,'Risk Register'!$A$6:$A$105,0)),""))</f>
        <v/>
      </c>
      <c r="E29" s="37" t="str">
        <f>IF(B29="","",IFERROR(INDEX('Risk Register'!$O$6:$O$105,MATCH(B29,'Risk Register'!$A$6:$A$105,0)),""))</f>
        <v/>
      </c>
      <c r="F29" s="38" t="str">
        <f>IF(B29="","",IFERROR(INDEX('Risk Register'!$U$6:$U$105,MATCH(B29,'Risk Register'!$A$6:$A$105,0)),""))</f>
        <v/>
      </c>
      <c r="G29" s="24"/>
      <c r="H29" s="24"/>
      <c r="I29" s="35"/>
      <c r="J29" s="35"/>
      <c r="K29" s="35"/>
      <c r="L29" s="46"/>
      <c r="M29" s="46"/>
      <c r="N29" s="38" t="str">
        <f>IF(F29="","",IFERROR(INDEX(Methodology!$B$48:$B$50,MATCH(F29,Methodology!$A$48:$A$50,0)),""))</f>
        <v/>
      </c>
      <c r="O29" s="38" t="str">
        <f>IF(OR(I29&lt;&gt;"Approved",F29=""),"",IF(F29="Within appetite","Not in breach",IF(K29="","Authority level not set",IF(IFERROR(MATCH(K29,Methodology!$B$49:$B$50,0),0)&gt;=IFERROR(MATCH(N29,Methodology!$B$49:$B$50,0),99),"OK","Insufficient authority"))))</f>
        <v/>
      </c>
      <c r="P29" s="38" t="str">
        <f>IF(A29="","",IF(I29&lt;&gt;"Approved",IF(I29="","No decision",I29),IF(M29="","Approved - no expiry",IF(M29&lt;Methodology!$B$4,"Expired",IF(M29-Methodology!$B$4&lt;=Methodology!$B$5,"Expiring soon","Active")))))</f>
        <v/>
      </c>
      <c r="Q29" s="37" t="str">
        <f>IF(OR(M29="",I29&lt;&gt;"Approved"),"",M29-Methodology!$B$4)</f>
        <v/>
      </c>
      <c r="R29" s="44" t="str">
        <f>IF(A29="","",IF(AND(I29="Approved",F29="Within appetite"),"Risk now within appetite: acceptance may be unnecessary",IF(AND(I29="Approved",L29&lt;&gt;"",M29&lt;&gt;"",M29-L29&gt;Methodology!$B$6),"Exceeds maximum acceptance period",IF(AND(I29="Approved",J29=""),"Approver not named",""))))</f>
        <v/>
      </c>
      <c r="S29">
        <f>IF(A29="",0,IF(O29&lt;&gt;"Insufficient authority",0,IF(COUNTIFS('Exception Register'!$B$6:$B$45,Checks!$A$11,'Exception Register'!$C$6:$C$45,A29&amp;" ("&amp;B29&amp;")",'Exception Register'!$J$6:$J$45,"Valid")&gt;0,1,0)))</f>
        <v>0</v>
      </c>
      <c r="T29" t="str">
        <f>IF(A29="","",IF(COUNTIF($A$6:$A$105,A29)&gt;1,"Duplicate Acceptance ID",IF(I29&lt;&gt;"Approved","Not approved",IF(OR(B29="",COUNTIF('Risk Register'!$A$6:$A$105,B29)&lt;&gt;1),"Unknown or duplicate Risk ID",IF(OR(G29="",J29=""),"Approval details missing",IF(OR(NOT(ISNUMBER(L29)),NOT(ISNUMBER(M29))),"Decision or expiry date missing/invalid",IF(OR(L29&lt;=0,L29&gt;Methodology!$B$4,M29&lt;L29),"Invalid decision or expiry date",IF(M29&lt;Methodology!$B$4,"Expired",IF(M29-L29&gt;Methodology!$B$6,"Exceeds maximum acceptance period",IF(O29&lt;&gt;"OK","Authority not sufficient","Eligible"))))))))))</f>
        <v/>
      </c>
    </row>
    <row r="30" spans="1:20" x14ac:dyDescent="0.35">
      <c r="A30" s="35"/>
      <c r="B30" s="35"/>
      <c r="C30" s="44" t="str">
        <f>IF(B30="","",IFERROR(INDEX('Risk Register'!$B$6:$B$105,MATCH(B30,'Risk Register'!$A$6:$A$105,0)),"Unknown Risk ID"))</f>
        <v/>
      </c>
      <c r="D30" s="38" t="str">
        <f>IF(B30="","",IFERROR(INDEX('Risk Register'!$D$6:$D$105,MATCH(B30,'Risk Register'!$A$6:$A$105,0)),""))</f>
        <v/>
      </c>
      <c r="E30" s="37" t="str">
        <f>IF(B30="","",IFERROR(INDEX('Risk Register'!$O$6:$O$105,MATCH(B30,'Risk Register'!$A$6:$A$105,0)),""))</f>
        <v/>
      </c>
      <c r="F30" s="38" t="str">
        <f>IF(B30="","",IFERROR(INDEX('Risk Register'!$U$6:$U$105,MATCH(B30,'Risk Register'!$A$6:$A$105,0)),""))</f>
        <v/>
      </c>
      <c r="G30" s="24"/>
      <c r="H30" s="24"/>
      <c r="I30" s="35"/>
      <c r="J30" s="35"/>
      <c r="K30" s="35"/>
      <c r="L30" s="46"/>
      <c r="M30" s="46"/>
      <c r="N30" s="38" t="str">
        <f>IF(F30="","",IFERROR(INDEX(Methodology!$B$48:$B$50,MATCH(F30,Methodology!$A$48:$A$50,0)),""))</f>
        <v/>
      </c>
      <c r="O30" s="38" t="str">
        <f>IF(OR(I30&lt;&gt;"Approved",F30=""),"",IF(F30="Within appetite","Not in breach",IF(K30="","Authority level not set",IF(IFERROR(MATCH(K30,Methodology!$B$49:$B$50,0),0)&gt;=IFERROR(MATCH(N30,Methodology!$B$49:$B$50,0),99),"OK","Insufficient authority"))))</f>
        <v/>
      </c>
      <c r="P30" s="38" t="str">
        <f>IF(A30="","",IF(I30&lt;&gt;"Approved",IF(I30="","No decision",I30),IF(M30="","Approved - no expiry",IF(M30&lt;Methodology!$B$4,"Expired",IF(M30-Methodology!$B$4&lt;=Methodology!$B$5,"Expiring soon","Active")))))</f>
        <v/>
      </c>
      <c r="Q30" s="37" t="str">
        <f>IF(OR(M30="",I30&lt;&gt;"Approved"),"",M30-Methodology!$B$4)</f>
        <v/>
      </c>
      <c r="R30" s="44" t="str">
        <f>IF(A30="","",IF(AND(I30="Approved",F30="Within appetite"),"Risk now within appetite: acceptance may be unnecessary",IF(AND(I30="Approved",L30&lt;&gt;"",M30&lt;&gt;"",M30-L30&gt;Methodology!$B$6),"Exceeds maximum acceptance period",IF(AND(I30="Approved",J30=""),"Approver not named",""))))</f>
        <v/>
      </c>
      <c r="S30">
        <f>IF(A30="",0,IF(O30&lt;&gt;"Insufficient authority",0,IF(COUNTIFS('Exception Register'!$B$6:$B$45,Checks!$A$11,'Exception Register'!$C$6:$C$45,A30&amp;" ("&amp;B30&amp;")",'Exception Register'!$J$6:$J$45,"Valid")&gt;0,1,0)))</f>
        <v>0</v>
      </c>
      <c r="T30" t="str">
        <f>IF(A30="","",IF(COUNTIF($A$6:$A$105,A30)&gt;1,"Duplicate Acceptance ID",IF(I30&lt;&gt;"Approved","Not approved",IF(OR(B30="",COUNTIF('Risk Register'!$A$6:$A$105,B30)&lt;&gt;1),"Unknown or duplicate Risk ID",IF(OR(G30="",J30=""),"Approval details missing",IF(OR(NOT(ISNUMBER(L30)),NOT(ISNUMBER(M30))),"Decision or expiry date missing/invalid",IF(OR(L30&lt;=0,L30&gt;Methodology!$B$4,M30&lt;L30),"Invalid decision or expiry date",IF(M30&lt;Methodology!$B$4,"Expired",IF(M30-L30&gt;Methodology!$B$6,"Exceeds maximum acceptance period",IF(O30&lt;&gt;"OK","Authority not sufficient","Eligible"))))))))))</f>
        <v/>
      </c>
    </row>
    <row r="31" spans="1:20" x14ac:dyDescent="0.35">
      <c r="A31" s="35"/>
      <c r="B31" s="35"/>
      <c r="C31" s="44" t="str">
        <f>IF(B31="","",IFERROR(INDEX('Risk Register'!$B$6:$B$105,MATCH(B31,'Risk Register'!$A$6:$A$105,0)),"Unknown Risk ID"))</f>
        <v/>
      </c>
      <c r="D31" s="38" t="str">
        <f>IF(B31="","",IFERROR(INDEX('Risk Register'!$D$6:$D$105,MATCH(B31,'Risk Register'!$A$6:$A$105,0)),""))</f>
        <v/>
      </c>
      <c r="E31" s="37" t="str">
        <f>IF(B31="","",IFERROR(INDEX('Risk Register'!$O$6:$O$105,MATCH(B31,'Risk Register'!$A$6:$A$105,0)),""))</f>
        <v/>
      </c>
      <c r="F31" s="38" t="str">
        <f>IF(B31="","",IFERROR(INDEX('Risk Register'!$U$6:$U$105,MATCH(B31,'Risk Register'!$A$6:$A$105,0)),""))</f>
        <v/>
      </c>
      <c r="G31" s="24"/>
      <c r="H31" s="24"/>
      <c r="I31" s="35"/>
      <c r="J31" s="35"/>
      <c r="K31" s="35"/>
      <c r="L31" s="46"/>
      <c r="M31" s="46"/>
      <c r="N31" s="38" t="str">
        <f>IF(F31="","",IFERROR(INDEX(Methodology!$B$48:$B$50,MATCH(F31,Methodology!$A$48:$A$50,0)),""))</f>
        <v/>
      </c>
      <c r="O31" s="38" t="str">
        <f>IF(OR(I31&lt;&gt;"Approved",F31=""),"",IF(F31="Within appetite","Not in breach",IF(K31="","Authority level not set",IF(IFERROR(MATCH(K31,Methodology!$B$49:$B$50,0),0)&gt;=IFERROR(MATCH(N31,Methodology!$B$49:$B$50,0),99),"OK","Insufficient authority"))))</f>
        <v/>
      </c>
      <c r="P31" s="38" t="str">
        <f>IF(A31="","",IF(I31&lt;&gt;"Approved",IF(I31="","No decision",I31),IF(M31="","Approved - no expiry",IF(M31&lt;Methodology!$B$4,"Expired",IF(M31-Methodology!$B$4&lt;=Methodology!$B$5,"Expiring soon","Active")))))</f>
        <v/>
      </c>
      <c r="Q31" s="37" t="str">
        <f>IF(OR(M31="",I31&lt;&gt;"Approved"),"",M31-Methodology!$B$4)</f>
        <v/>
      </c>
      <c r="R31" s="44" t="str">
        <f>IF(A31="","",IF(AND(I31="Approved",F31="Within appetite"),"Risk now within appetite: acceptance may be unnecessary",IF(AND(I31="Approved",L31&lt;&gt;"",M31&lt;&gt;"",M31-L31&gt;Methodology!$B$6),"Exceeds maximum acceptance period",IF(AND(I31="Approved",J31=""),"Approver not named",""))))</f>
        <v/>
      </c>
      <c r="S31">
        <f>IF(A31="",0,IF(O31&lt;&gt;"Insufficient authority",0,IF(COUNTIFS('Exception Register'!$B$6:$B$45,Checks!$A$11,'Exception Register'!$C$6:$C$45,A31&amp;" ("&amp;B31&amp;")",'Exception Register'!$J$6:$J$45,"Valid")&gt;0,1,0)))</f>
        <v>0</v>
      </c>
      <c r="T31" t="str">
        <f>IF(A31="","",IF(COUNTIF($A$6:$A$105,A31)&gt;1,"Duplicate Acceptance ID",IF(I31&lt;&gt;"Approved","Not approved",IF(OR(B31="",COUNTIF('Risk Register'!$A$6:$A$105,B31)&lt;&gt;1),"Unknown or duplicate Risk ID",IF(OR(G31="",J31=""),"Approval details missing",IF(OR(NOT(ISNUMBER(L31)),NOT(ISNUMBER(M31))),"Decision or expiry date missing/invalid",IF(OR(L31&lt;=0,L31&gt;Methodology!$B$4,M31&lt;L31),"Invalid decision or expiry date",IF(M31&lt;Methodology!$B$4,"Expired",IF(M31-L31&gt;Methodology!$B$6,"Exceeds maximum acceptance period",IF(O31&lt;&gt;"OK","Authority not sufficient","Eligible"))))))))))</f>
        <v/>
      </c>
    </row>
    <row r="32" spans="1:20" x14ac:dyDescent="0.35">
      <c r="A32" s="35"/>
      <c r="B32" s="35"/>
      <c r="C32" s="44" t="str">
        <f>IF(B32="","",IFERROR(INDEX('Risk Register'!$B$6:$B$105,MATCH(B32,'Risk Register'!$A$6:$A$105,0)),"Unknown Risk ID"))</f>
        <v/>
      </c>
      <c r="D32" s="38" t="str">
        <f>IF(B32="","",IFERROR(INDEX('Risk Register'!$D$6:$D$105,MATCH(B32,'Risk Register'!$A$6:$A$105,0)),""))</f>
        <v/>
      </c>
      <c r="E32" s="37" t="str">
        <f>IF(B32="","",IFERROR(INDEX('Risk Register'!$O$6:$O$105,MATCH(B32,'Risk Register'!$A$6:$A$105,0)),""))</f>
        <v/>
      </c>
      <c r="F32" s="38" t="str">
        <f>IF(B32="","",IFERROR(INDEX('Risk Register'!$U$6:$U$105,MATCH(B32,'Risk Register'!$A$6:$A$105,0)),""))</f>
        <v/>
      </c>
      <c r="G32" s="24"/>
      <c r="H32" s="24"/>
      <c r="I32" s="35"/>
      <c r="J32" s="35"/>
      <c r="K32" s="35"/>
      <c r="L32" s="46"/>
      <c r="M32" s="46"/>
      <c r="N32" s="38" t="str">
        <f>IF(F32="","",IFERROR(INDEX(Methodology!$B$48:$B$50,MATCH(F32,Methodology!$A$48:$A$50,0)),""))</f>
        <v/>
      </c>
      <c r="O32" s="38" t="str">
        <f>IF(OR(I32&lt;&gt;"Approved",F32=""),"",IF(F32="Within appetite","Not in breach",IF(K32="","Authority level not set",IF(IFERROR(MATCH(K32,Methodology!$B$49:$B$50,0),0)&gt;=IFERROR(MATCH(N32,Methodology!$B$49:$B$50,0),99),"OK","Insufficient authority"))))</f>
        <v/>
      </c>
      <c r="P32" s="38" t="str">
        <f>IF(A32="","",IF(I32&lt;&gt;"Approved",IF(I32="","No decision",I32),IF(M32="","Approved - no expiry",IF(M32&lt;Methodology!$B$4,"Expired",IF(M32-Methodology!$B$4&lt;=Methodology!$B$5,"Expiring soon","Active")))))</f>
        <v/>
      </c>
      <c r="Q32" s="37" t="str">
        <f>IF(OR(M32="",I32&lt;&gt;"Approved"),"",M32-Methodology!$B$4)</f>
        <v/>
      </c>
      <c r="R32" s="44" t="str">
        <f>IF(A32="","",IF(AND(I32="Approved",F32="Within appetite"),"Risk now within appetite: acceptance may be unnecessary",IF(AND(I32="Approved",L32&lt;&gt;"",M32&lt;&gt;"",M32-L32&gt;Methodology!$B$6),"Exceeds maximum acceptance period",IF(AND(I32="Approved",J32=""),"Approver not named",""))))</f>
        <v/>
      </c>
      <c r="S32">
        <f>IF(A32="",0,IF(O32&lt;&gt;"Insufficient authority",0,IF(COUNTIFS('Exception Register'!$B$6:$B$45,Checks!$A$11,'Exception Register'!$C$6:$C$45,A32&amp;" ("&amp;B32&amp;")",'Exception Register'!$J$6:$J$45,"Valid")&gt;0,1,0)))</f>
        <v>0</v>
      </c>
      <c r="T32" t="str">
        <f>IF(A32="","",IF(COUNTIF($A$6:$A$105,A32)&gt;1,"Duplicate Acceptance ID",IF(I32&lt;&gt;"Approved","Not approved",IF(OR(B32="",COUNTIF('Risk Register'!$A$6:$A$105,B32)&lt;&gt;1),"Unknown or duplicate Risk ID",IF(OR(G32="",J32=""),"Approval details missing",IF(OR(NOT(ISNUMBER(L32)),NOT(ISNUMBER(M32))),"Decision or expiry date missing/invalid",IF(OR(L32&lt;=0,L32&gt;Methodology!$B$4,M32&lt;L32),"Invalid decision or expiry date",IF(M32&lt;Methodology!$B$4,"Expired",IF(M32-L32&gt;Methodology!$B$6,"Exceeds maximum acceptance period",IF(O32&lt;&gt;"OK","Authority not sufficient","Eligible"))))))))))</f>
        <v/>
      </c>
    </row>
    <row r="33" spans="1:20" x14ac:dyDescent="0.35">
      <c r="A33" s="35"/>
      <c r="B33" s="35"/>
      <c r="C33" s="44" t="str">
        <f>IF(B33="","",IFERROR(INDEX('Risk Register'!$B$6:$B$105,MATCH(B33,'Risk Register'!$A$6:$A$105,0)),"Unknown Risk ID"))</f>
        <v/>
      </c>
      <c r="D33" s="38" t="str">
        <f>IF(B33="","",IFERROR(INDEX('Risk Register'!$D$6:$D$105,MATCH(B33,'Risk Register'!$A$6:$A$105,0)),""))</f>
        <v/>
      </c>
      <c r="E33" s="37" t="str">
        <f>IF(B33="","",IFERROR(INDEX('Risk Register'!$O$6:$O$105,MATCH(B33,'Risk Register'!$A$6:$A$105,0)),""))</f>
        <v/>
      </c>
      <c r="F33" s="38" t="str">
        <f>IF(B33="","",IFERROR(INDEX('Risk Register'!$U$6:$U$105,MATCH(B33,'Risk Register'!$A$6:$A$105,0)),""))</f>
        <v/>
      </c>
      <c r="G33" s="24"/>
      <c r="H33" s="24"/>
      <c r="I33" s="35"/>
      <c r="J33" s="35"/>
      <c r="K33" s="35"/>
      <c r="L33" s="46"/>
      <c r="M33" s="46"/>
      <c r="N33" s="38" t="str">
        <f>IF(F33="","",IFERROR(INDEX(Methodology!$B$48:$B$50,MATCH(F33,Methodology!$A$48:$A$50,0)),""))</f>
        <v/>
      </c>
      <c r="O33" s="38" t="str">
        <f>IF(OR(I33&lt;&gt;"Approved",F33=""),"",IF(F33="Within appetite","Not in breach",IF(K33="","Authority level not set",IF(IFERROR(MATCH(K33,Methodology!$B$49:$B$50,0),0)&gt;=IFERROR(MATCH(N33,Methodology!$B$49:$B$50,0),99),"OK","Insufficient authority"))))</f>
        <v/>
      </c>
      <c r="P33" s="38" t="str">
        <f>IF(A33="","",IF(I33&lt;&gt;"Approved",IF(I33="","No decision",I33),IF(M33="","Approved - no expiry",IF(M33&lt;Methodology!$B$4,"Expired",IF(M33-Methodology!$B$4&lt;=Methodology!$B$5,"Expiring soon","Active")))))</f>
        <v/>
      </c>
      <c r="Q33" s="37" t="str">
        <f>IF(OR(M33="",I33&lt;&gt;"Approved"),"",M33-Methodology!$B$4)</f>
        <v/>
      </c>
      <c r="R33" s="44" t="str">
        <f>IF(A33="","",IF(AND(I33="Approved",F33="Within appetite"),"Risk now within appetite: acceptance may be unnecessary",IF(AND(I33="Approved",L33&lt;&gt;"",M33&lt;&gt;"",M33-L33&gt;Methodology!$B$6),"Exceeds maximum acceptance period",IF(AND(I33="Approved",J33=""),"Approver not named",""))))</f>
        <v/>
      </c>
      <c r="S33">
        <f>IF(A33="",0,IF(O33&lt;&gt;"Insufficient authority",0,IF(COUNTIFS('Exception Register'!$B$6:$B$45,Checks!$A$11,'Exception Register'!$C$6:$C$45,A33&amp;" ("&amp;B33&amp;")",'Exception Register'!$J$6:$J$45,"Valid")&gt;0,1,0)))</f>
        <v>0</v>
      </c>
      <c r="T33" t="str">
        <f>IF(A33="","",IF(COUNTIF($A$6:$A$105,A33)&gt;1,"Duplicate Acceptance ID",IF(I33&lt;&gt;"Approved","Not approved",IF(OR(B33="",COUNTIF('Risk Register'!$A$6:$A$105,B33)&lt;&gt;1),"Unknown or duplicate Risk ID",IF(OR(G33="",J33=""),"Approval details missing",IF(OR(NOT(ISNUMBER(L33)),NOT(ISNUMBER(M33))),"Decision or expiry date missing/invalid",IF(OR(L33&lt;=0,L33&gt;Methodology!$B$4,M33&lt;L33),"Invalid decision or expiry date",IF(M33&lt;Methodology!$B$4,"Expired",IF(M33-L33&gt;Methodology!$B$6,"Exceeds maximum acceptance period",IF(O33&lt;&gt;"OK","Authority not sufficient","Eligible"))))))))))</f>
        <v/>
      </c>
    </row>
    <row r="34" spans="1:20" x14ac:dyDescent="0.35">
      <c r="A34" s="35"/>
      <c r="B34" s="35"/>
      <c r="C34" s="44" t="str">
        <f>IF(B34="","",IFERROR(INDEX('Risk Register'!$B$6:$B$105,MATCH(B34,'Risk Register'!$A$6:$A$105,0)),"Unknown Risk ID"))</f>
        <v/>
      </c>
      <c r="D34" s="38" t="str">
        <f>IF(B34="","",IFERROR(INDEX('Risk Register'!$D$6:$D$105,MATCH(B34,'Risk Register'!$A$6:$A$105,0)),""))</f>
        <v/>
      </c>
      <c r="E34" s="37" t="str">
        <f>IF(B34="","",IFERROR(INDEX('Risk Register'!$O$6:$O$105,MATCH(B34,'Risk Register'!$A$6:$A$105,0)),""))</f>
        <v/>
      </c>
      <c r="F34" s="38" t="str">
        <f>IF(B34="","",IFERROR(INDEX('Risk Register'!$U$6:$U$105,MATCH(B34,'Risk Register'!$A$6:$A$105,0)),""))</f>
        <v/>
      </c>
      <c r="G34" s="24"/>
      <c r="H34" s="24"/>
      <c r="I34" s="35"/>
      <c r="J34" s="35"/>
      <c r="K34" s="35"/>
      <c r="L34" s="46"/>
      <c r="M34" s="46"/>
      <c r="N34" s="38" t="str">
        <f>IF(F34="","",IFERROR(INDEX(Methodology!$B$48:$B$50,MATCH(F34,Methodology!$A$48:$A$50,0)),""))</f>
        <v/>
      </c>
      <c r="O34" s="38" t="str">
        <f>IF(OR(I34&lt;&gt;"Approved",F34=""),"",IF(F34="Within appetite","Not in breach",IF(K34="","Authority level not set",IF(IFERROR(MATCH(K34,Methodology!$B$49:$B$50,0),0)&gt;=IFERROR(MATCH(N34,Methodology!$B$49:$B$50,0),99),"OK","Insufficient authority"))))</f>
        <v/>
      </c>
      <c r="P34" s="38" t="str">
        <f>IF(A34="","",IF(I34&lt;&gt;"Approved",IF(I34="","No decision",I34),IF(M34="","Approved - no expiry",IF(M34&lt;Methodology!$B$4,"Expired",IF(M34-Methodology!$B$4&lt;=Methodology!$B$5,"Expiring soon","Active")))))</f>
        <v/>
      </c>
      <c r="Q34" s="37" t="str">
        <f>IF(OR(M34="",I34&lt;&gt;"Approved"),"",M34-Methodology!$B$4)</f>
        <v/>
      </c>
      <c r="R34" s="44" t="str">
        <f>IF(A34="","",IF(AND(I34="Approved",F34="Within appetite"),"Risk now within appetite: acceptance may be unnecessary",IF(AND(I34="Approved",L34&lt;&gt;"",M34&lt;&gt;"",M34-L34&gt;Methodology!$B$6),"Exceeds maximum acceptance period",IF(AND(I34="Approved",J34=""),"Approver not named",""))))</f>
        <v/>
      </c>
      <c r="S34">
        <f>IF(A34="",0,IF(O34&lt;&gt;"Insufficient authority",0,IF(COUNTIFS('Exception Register'!$B$6:$B$45,Checks!$A$11,'Exception Register'!$C$6:$C$45,A34&amp;" ("&amp;B34&amp;")",'Exception Register'!$J$6:$J$45,"Valid")&gt;0,1,0)))</f>
        <v>0</v>
      </c>
      <c r="T34" t="str">
        <f>IF(A34="","",IF(COUNTIF($A$6:$A$105,A34)&gt;1,"Duplicate Acceptance ID",IF(I34&lt;&gt;"Approved","Not approved",IF(OR(B34="",COUNTIF('Risk Register'!$A$6:$A$105,B34)&lt;&gt;1),"Unknown or duplicate Risk ID",IF(OR(G34="",J34=""),"Approval details missing",IF(OR(NOT(ISNUMBER(L34)),NOT(ISNUMBER(M34))),"Decision or expiry date missing/invalid",IF(OR(L34&lt;=0,L34&gt;Methodology!$B$4,M34&lt;L34),"Invalid decision or expiry date",IF(M34&lt;Methodology!$B$4,"Expired",IF(M34-L34&gt;Methodology!$B$6,"Exceeds maximum acceptance period",IF(O34&lt;&gt;"OK","Authority not sufficient","Eligible"))))))))))</f>
        <v/>
      </c>
    </row>
    <row r="35" spans="1:20" x14ac:dyDescent="0.35">
      <c r="A35" s="35"/>
      <c r="B35" s="35"/>
      <c r="C35" s="44" t="str">
        <f>IF(B35="","",IFERROR(INDEX('Risk Register'!$B$6:$B$105,MATCH(B35,'Risk Register'!$A$6:$A$105,0)),"Unknown Risk ID"))</f>
        <v/>
      </c>
      <c r="D35" s="38" t="str">
        <f>IF(B35="","",IFERROR(INDEX('Risk Register'!$D$6:$D$105,MATCH(B35,'Risk Register'!$A$6:$A$105,0)),""))</f>
        <v/>
      </c>
      <c r="E35" s="37" t="str">
        <f>IF(B35="","",IFERROR(INDEX('Risk Register'!$O$6:$O$105,MATCH(B35,'Risk Register'!$A$6:$A$105,0)),""))</f>
        <v/>
      </c>
      <c r="F35" s="38" t="str">
        <f>IF(B35="","",IFERROR(INDEX('Risk Register'!$U$6:$U$105,MATCH(B35,'Risk Register'!$A$6:$A$105,0)),""))</f>
        <v/>
      </c>
      <c r="G35" s="24"/>
      <c r="H35" s="24"/>
      <c r="I35" s="35"/>
      <c r="J35" s="35"/>
      <c r="K35" s="35"/>
      <c r="L35" s="46"/>
      <c r="M35" s="46"/>
      <c r="N35" s="38" t="str">
        <f>IF(F35="","",IFERROR(INDEX(Methodology!$B$48:$B$50,MATCH(F35,Methodology!$A$48:$A$50,0)),""))</f>
        <v/>
      </c>
      <c r="O35" s="38" t="str">
        <f>IF(OR(I35&lt;&gt;"Approved",F35=""),"",IF(F35="Within appetite","Not in breach",IF(K35="","Authority level not set",IF(IFERROR(MATCH(K35,Methodology!$B$49:$B$50,0),0)&gt;=IFERROR(MATCH(N35,Methodology!$B$49:$B$50,0),99),"OK","Insufficient authority"))))</f>
        <v/>
      </c>
      <c r="P35" s="38" t="str">
        <f>IF(A35="","",IF(I35&lt;&gt;"Approved",IF(I35="","No decision",I35),IF(M35="","Approved - no expiry",IF(M35&lt;Methodology!$B$4,"Expired",IF(M35-Methodology!$B$4&lt;=Methodology!$B$5,"Expiring soon","Active")))))</f>
        <v/>
      </c>
      <c r="Q35" s="37" t="str">
        <f>IF(OR(M35="",I35&lt;&gt;"Approved"),"",M35-Methodology!$B$4)</f>
        <v/>
      </c>
      <c r="R35" s="44" t="str">
        <f>IF(A35="","",IF(AND(I35="Approved",F35="Within appetite"),"Risk now within appetite: acceptance may be unnecessary",IF(AND(I35="Approved",L35&lt;&gt;"",M35&lt;&gt;"",M35-L35&gt;Methodology!$B$6),"Exceeds maximum acceptance period",IF(AND(I35="Approved",J35=""),"Approver not named",""))))</f>
        <v/>
      </c>
      <c r="S35">
        <f>IF(A35="",0,IF(O35&lt;&gt;"Insufficient authority",0,IF(COUNTIFS('Exception Register'!$B$6:$B$45,Checks!$A$11,'Exception Register'!$C$6:$C$45,A35&amp;" ("&amp;B35&amp;")",'Exception Register'!$J$6:$J$45,"Valid")&gt;0,1,0)))</f>
        <v>0</v>
      </c>
      <c r="T35" t="str">
        <f>IF(A35="","",IF(COUNTIF($A$6:$A$105,A35)&gt;1,"Duplicate Acceptance ID",IF(I35&lt;&gt;"Approved","Not approved",IF(OR(B35="",COUNTIF('Risk Register'!$A$6:$A$105,B35)&lt;&gt;1),"Unknown or duplicate Risk ID",IF(OR(G35="",J35=""),"Approval details missing",IF(OR(NOT(ISNUMBER(L35)),NOT(ISNUMBER(M35))),"Decision or expiry date missing/invalid",IF(OR(L35&lt;=0,L35&gt;Methodology!$B$4,M35&lt;L35),"Invalid decision or expiry date",IF(M35&lt;Methodology!$B$4,"Expired",IF(M35-L35&gt;Methodology!$B$6,"Exceeds maximum acceptance period",IF(O35&lt;&gt;"OK","Authority not sufficient","Eligible"))))))))))</f>
        <v/>
      </c>
    </row>
    <row r="36" spans="1:20" x14ac:dyDescent="0.35">
      <c r="A36" s="35"/>
      <c r="B36" s="35"/>
      <c r="C36" s="44" t="str">
        <f>IF(B36="","",IFERROR(INDEX('Risk Register'!$B$6:$B$105,MATCH(B36,'Risk Register'!$A$6:$A$105,0)),"Unknown Risk ID"))</f>
        <v/>
      </c>
      <c r="D36" s="38" t="str">
        <f>IF(B36="","",IFERROR(INDEX('Risk Register'!$D$6:$D$105,MATCH(B36,'Risk Register'!$A$6:$A$105,0)),""))</f>
        <v/>
      </c>
      <c r="E36" s="37" t="str">
        <f>IF(B36="","",IFERROR(INDEX('Risk Register'!$O$6:$O$105,MATCH(B36,'Risk Register'!$A$6:$A$105,0)),""))</f>
        <v/>
      </c>
      <c r="F36" s="38" t="str">
        <f>IF(B36="","",IFERROR(INDEX('Risk Register'!$U$6:$U$105,MATCH(B36,'Risk Register'!$A$6:$A$105,0)),""))</f>
        <v/>
      </c>
      <c r="G36" s="24"/>
      <c r="H36" s="24"/>
      <c r="I36" s="35"/>
      <c r="J36" s="35"/>
      <c r="K36" s="35"/>
      <c r="L36" s="46"/>
      <c r="M36" s="46"/>
      <c r="N36" s="38" t="str">
        <f>IF(F36="","",IFERROR(INDEX(Methodology!$B$48:$B$50,MATCH(F36,Methodology!$A$48:$A$50,0)),""))</f>
        <v/>
      </c>
      <c r="O36" s="38" t="str">
        <f>IF(OR(I36&lt;&gt;"Approved",F36=""),"",IF(F36="Within appetite","Not in breach",IF(K36="","Authority level not set",IF(IFERROR(MATCH(K36,Methodology!$B$49:$B$50,0),0)&gt;=IFERROR(MATCH(N36,Methodology!$B$49:$B$50,0),99),"OK","Insufficient authority"))))</f>
        <v/>
      </c>
      <c r="P36" s="38" t="str">
        <f>IF(A36="","",IF(I36&lt;&gt;"Approved",IF(I36="","No decision",I36),IF(M36="","Approved - no expiry",IF(M36&lt;Methodology!$B$4,"Expired",IF(M36-Methodology!$B$4&lt;=Methodology!$B$5,"Expiring soon","Active")))))</f>
        <v/>
      </c>
      <c r="Q36" s="37" t="str">
        <f>IF(OR(M36="",I36&lt;&gt;"Approved"),"",M36-Methodology!$B$4)</f>
        <v/>
      </c>
      <c r="R36" s="44" t="str">
        <f>IF(A36="","",IF(AND(I36="Approved",F36="Within appetite"),"Risk now within appetite: acceptance may be unnecessary",IF(AND(I36="Approved",L36&lt;&gt;"",M36&lt;&gt;"",M36-L36&gt;Methodology!$B$6),"Exceeds maximum acceptance period",IF(AND(I36="Approved",J36=""),"Approver not named",""))))</f>
        <v/>
      </c>
      <c r="S36">
        <f>IF(A36="",0,IF(O36&lt;&gt;"Insufficient authority",0,IF(COUNTIFS('Exception Register'!$B$6:$B$45,Checks!$A$11,'Exception Register'!$C$6:$C$45,A36&amp;" ("&amp;B36&amp;")",'Exception Register'!$J$6:$J$45,"Valid")&gt;0,1,0)))</f>
        <v>0</v>
      </c>
      <c r="T36" t="str">
        <f>IF(A36="","",IF(COUNTIF($A$6:$A$105,A36)&gt;1,"Duplicate Acceptance ID",IF(I36&lt;&gt;"Approved","Not approved",IF(OR(B36="",COUNTIF('Risk Register'!$A$6:$A$105,B36)&lt;&gt;1),"Unknown or duplicate Risk ID",IF(OR(G36="",J36=""),"Approval details missing",IF(OR(NOT(ISNUMBER(L36)),NOT(ISNUMBER(M36))),"Decision or expiry date missing/invalid",IF(OR(L36&lt;=0,L36&gt;Methodology!$B$4,M36&lt;L36),"Invalid decision or expiry date",IF(M36&lt;Methodology!$B$4,"Expired",IF(M36-L36&gt;Methodology!$B$6,"Exceeds maximum acceptance period",IF(O36&lt;&gt;"OK","Authority not sufficient","Eligible"))))))))))</f>
        <v/>
      </c>
    </row>
    <row r="37" spans="1:20" x14ac:dyDescent="0.35">
      <c r="A37" s="35"/>
      <c r="B37" s="35"/>
      <c r="C37" s="44" t="str">
        <f>IF(B37="","",IFERROR(INDEX('Risk Register'!$B$6:$B$105,MATCH(B37,'Risk Register'!$A$6:$A$105,0)),"Unknown Risk ID"))</f>
        <v/>
      </c>
      <c r="D37" s="38" t="str">
        <f>IF(B37="","",IFERROR(INDEX('Risk Register'!$D$6:$D$105,MATCH(B37,'Risk Register'!$A$6:$A$105,0)),""))</f>
        <v/>
      </c>
      <c r="E37" s="37" t="str">
        <f>IF(B37="","",IFERROR(INDEX('Risk Register'!$O$6:$O$105,MATCH(B37,'Risk Register'!$A$6:$A$105,0)),""))</f>
        <v/>
      </c>
      <c r="F37" s="38" t="str">
        <f>IF(B37="","",IFERROR(INDEX('Risk Register'!$U$6:$U$105,MATCH(B37,'Risk Register'!$A$6:$A$105,0)),""))</f>
        <v/>
      </c>
      <c r="G37" s="24"/>
      <c r="H37" s="24"/>
      <c r="I37" s="35"/>
      <c r="J37" s="35"/>
      <c r="K37" s="35"/>
      <c r="L37" s="46"/>
      <c r="M37" s="46"/>
      <c r="N37" s="38" t="str">
        <f>IF(F37="","",IFERROR(INDEX(Methodology!$B$48:$B$50,MATCH(F37,Methodology!$A$48:$A$50,0)),""))</f>
        <v/>
      </c>
      <c r="O37" s="38" t="str">
        <f>IF(OR(I37&lt;&gt;"Approved",F37=""),"",IF(F37="Within appetite","Not in breach",IF(K37="","Authority level not set",IF(IFERROR(MATCH(K37,Methodology!$B$49:$B$50,0),0)&gt;=IFERROR(MATCH(N37,Methodology!$B$49:$B$50,0),99),"OK","Insufficient authority"))))</f>
        <v/>
      </c>
      <c r="P37" s="38" t="str">
        <f>IF(A37="","",IF(I37&lt;&gt;"Approved",IF(I37="","No decision",I37),IF(M37="","Approved - no expiry",IF(M37&lt;Methodology!$B$4,"Expired",IF(M37-Methodology!$B$4&lt;=Methodology!$B$5,"Expiring soon","Active")))))</f>
        <v/>
      </c>
      <c r="Q37" s="37" t="str">
        <f>IF(OR(M37="",I37&lt;&gt;"Approved"),"",M37-Methodology!$B$4)</f>
        <v/>
      </c>
      <c r="R37" s="44" t="str">
        <f>IF(A37="","",IF(AND(I37="Approved",F37="Within appetite"),"Risk now within appetite: acceptance may be unnecessary",IF(AND(I37="Approved",L37&lt;&gt;"",M37&lt;&gt;"",M37-L37&gt;Methodology!$B$6),"Exceeds maximum acceptance period",IF(AND(I37="Approved",J37=""),"Approver not named",""))))</f>
        <v/>
      </c>
      <c r="S37">
        <f>IF(A37="",0,IF(O37&lt;&gt;"Insufficient authority",0,IF(COUNTIFS('Exception Register'!$B$6:$B$45,Checks!$A$11,'Exception Register'!$C$6:$C$45,A37&amp;" ("&amp;B37&amp;")",'Exception Register'!$J$6:$J$45,"Valid")&gt;0,1,0)))</f>
        <v>0</v>
      </c>
      <c r="T37" t="str">
        <f>IF(A37="","",IF(COUNTIF($A$6:$A$105,A37)&gt;1,"Duplicate Acceptance ID",IF(I37&lt;&gt;"Approved","Not approved",IF(OR(B37="",COUNTIF('Risk Register'!$A$6:$A$105,B37)&lt;&gt;1),"Unknown or duplicate Risk ID",IF(OR(G37="",J37=""),"Approval details missing",IF(OR(NOT(ISNUMBER(L37)),NOT(ISNUMBER(M37))),"Decision or expiry date missing/invalid",IF(OR(L37&lt;=0,L37&gt;Methodology!$B$4,M37&lt;L37),"Invalid decision or expiry date",IF(M37&lt;Methodology!$B$4,"Expired",IF(M37-L37&gt;Methodology!$B$6,"Exceeds maximum acceptance period",IF(O37&lt;&gt;"OK","Authority not sufficient","Eligible"))))))))))</f>
        <v/>
      </c>
    </row>
    <row r="38" spans="1:20" x14ac:dyDescent="0.35">
      <c r="A38" s="35"/>
      <c r="B38" s="35"/>
      <c r="C38" s="44" t="str">
        <f>IF(B38="","",IFERROR(INDEX('Risk Register'!$B$6:$B$105,MATCH(B38,'Risk Register'!$A$6:$A$105,0)),"Unknown Risk ID"))</f>
        <v/>
      </c>
      <c r="D38" s="38" t="str">
        <f>IF(B38="","",IFERROR(INDEX('Risk Register'!$D$6:$D$105,MATCH(B38,'Risk Register'!$A$6:$A$105,0)),""))</f>
        <v/>
      </c>
      <c r="E38" s="37" t="str">
        <f>IF(B38="","",IFERROR(INDEX('Risk Register'!$O$6:$O$105,MATCH(B38,'Risk Register'!$A$6:$A$105,0)),""))</f>
        <v/>
      </c>
      <c r="F38" s="38" t="str">
        <f>IF(B38="","",IFERROR(INDEX('Risk Register'!$U$6:$U$105,MATCH(B38,'Risk Register'!$A$6:$A$105,0)),""))</f>
        <v/>
      </c>
      <c r="G38" s="24"/>
      <c r="H38" s="24"/>
      <c r="I38" s="35"/>
      <c r="J38" s="35"/>
      <c r="K38" s="35"/>
      <c r="L38" s="46"/>
      <c r="M38" s="46"/>
      <c r="N38" s="38" t="str">
        <f>IF(F38="","",IFERROR(INDEX(Methodology!$B$48:$B$50,MATCH(F38,Methodology!$A$48:$A$50,0)),""))</f>
        <v/>
      </c>
      <c r="O38" s="38" t="str">
        <f>IF(OR(I38&lt;&gt;"Approved",F38=""),"",IF(F38="Within appetite","Not in breach",IF(K38="","Authority level not set",IF(IFERROR(MATCH(K38,Methodology!$B$49:$B$50,0),0)&gt;=IFERROR(MATCH(N38,Methodology!$B$49:$B$50,0),99),"OK","Insufficient authority"))))</f>
        <v/>
      </c>
      <c r="P38" s="38" t="str">
        <f>IF(A38="","",IF(I38&lt;&gt;"Approved",IF(I38="","No decision",I38),IF(M38="","Approved - no expiry",IF(M38&lt;Methodology!$B$4,"Expired",IF(M38-Methodology!$B$4&lt;=Methodology!$B$5,"Expiring soon","Active")))))</f>
        <v/>
      </c>
      <c r="Q38" s="37" t="str">
        <f>IF(OR(M38="",I38&lt;&gt;"Approved"),"",M38-Methodology!$B$4)</f>
        <v/>
      </c>
      <c r="R38" s="44" t="str">
        <f>IF(A38="","",IF(AND(I38="Approved",F38="Within appetite"),"Risk now within appetite: acceptance may be unnecessary",IF(AND(I38="Approved",L38&lt;&gt;"",M38&lt;&gt;"",M38-L38&gt;Methodology!$B$6),"Exceeds maximum acceptance period",IF(AND(I38="Approved",J38=""),"Approver not named",""))))</f>
        <v/>
      </c>
      <c r="S38">
        <f>IF(A38="",0,IF(O38&lt;&gt;"Insufficient authority",0,IF(COUNTIFS('Exception Register'!$B$6:$B$45,Checks!$A$11,'Exception Register'!$C$6:$C$45,A38&amp;" ("&amp;B38&amp;")",'Exception Register'!$J$6:$J$45,"Valid")&gt;0,1,0)))</f>
        <v>0</v>
      </c>
      <c r="T38" t="str">
        <f>IF(A38="","",IF(COUNTIF($A$6:$A$105,A38)&gt;1,"Duplicate Acceptance ID",IF(I38&lt;&gt;"Approved","Not approved",IF(OR(B38="",COUNTIF('Risk Register'!$A$6:$A$105,B38)&lt;&gt;1),"Unknown or duplicate Risk ID",IF(OR(G38="",J38=""),"Approval details missing",IF(OR(NOT(ISNUMBER(L38)),NOT(ISNUMBER(M38))),"Decision or expiry date missing/invalid",IF(OR(L38&lt;=0,L38&gt;Methodology!$B$4,M38&lt;L38),"Invalid decision or expiry date",IF(M38&lt;Methodology!$B$4,"Expired",IF(M38-L38&gt;Methodology!$B$6,"Exceeds maximum acceptance period",IF(O38&lt;&gt;"OK","Authority not sufficient","Eligible"))))))))))</f>
        <v/>
      </c>
    </row>
    <row r="39" spans="1:20" x14ac:dyDescent="0.35">
      <c r="A39" s="35"/>
      <c r="B39" s="35"/>
      <c r="C39" s="44" t="str">
        <f>IF(B39="","",IFERROR(INDEX('Risk Register'!$B$6:$B$105,MATCH(B39,'Risk Register'!$A$6:$A$105,0)),"Unknown Risk ID"))</f>
        <v/>
      </c>
      <c r="D39" s="38" t="str">
        <f>IF(B39="","",IFERROR(INDEX('Risk Register'!$D$6:$D$105,MATCH(B39,'Risk Register'!$A$6:$A$105,0)),""))</f>
        <v/>
      </c>
      <c r="E39" s="37" t="str">
        <f>IF(B39="","",IFERROR(INDEX('Risk Register'!$O$6:$O$105,MATCH(B39,'Risk Register'!$A$6:$A$105,0)),""))</f>
        <v/>
      </c>
      <c r="F39" s="38" t="str">
        <f>IF(B39="","",IFERROR(INDEX('Risk Register'!$U$6:$U$105,MATCH(B39,'Risk Register'!$A$6:$A$105,0)),""))</f>
        <v/>
      </c>
      <c r="G39" s="24"/>
      <c r="H39" s="24"/>
      <c r="I39" s="35"/>
      <c r="J39" s="35"/>
      <c r="K39" s="35"/>
      <c r="L39" s="46"/>
      <c r="M39" s="46"/>
      <c r="N39" s="38" t="str">
        <f>IF(F39="","",IFERROR(INDEX(Methodology!$B$48:$B$50,MATCH(F39,Methodology!$A$48:$A$50,0)),""))</f>
        <v/>
      </c>
      <c r="O39" s="38" t="str">
        <f>IF(OR(I39&lt;&gt;"Approved",F39=""),"",IF(F39="Within appetite","Not in breach",IF(K39="","Authority level not set",IF(IFERROR(MATCH(K39,Methodology!$B$49:$B$50,0),0)&gt;=IFERROR(MATCH(N39,Methodology!$B$49:$B$50,0),99),"OK","Insufficient authority"))))</f>
        <v/>
      </c>
      <c r="P39" s="38" t="str">
        <f>IF(A39="","",IF(I39&lt;&gt;"Approved",IF(I39="","No decision",I39),IF(M39="","Approved - no expiry",IF(M39&lt;Methodology!$B$4,"Expired",IF(M39-Methodology!$B$4&lt;=Methodology!$B$5,"Expiring soon","Active")))))</f>
        <v/>
      </c>
      <c r="Q39" s="37" t="str">
        <f>IF(OR(M39="",I39&lt;&gt;"Approved"),"",M39-Methodology!$B$4)</f>
        <v/>
      </c>
      <c r="R39" s="44" t="str">
        <f>IF(A39="","",IF(AND(I39="Approved",F39="Within appetite"),"Risk now within appetite: acceptance may be unnecessary",IF(AND(I39="Approved",L39&lt;&gt;"",M39&lt;&gt;"",M39-L39&gt;Methodology!$B$6),"Exceeds maximum acceptance period",IF(AND(I39="Approved",J39=""),"Approver not named",""))))</f>
        <v/>
      </c>
      <c r="S39">
        <f>IF(A39="",0,IF(O39&lt;&gt;"Insufficient authority",0,IF(COUNTIFS('Exception Register'!$B$6:$B$45,Checks!$A$11,'Exception Register'!$C$6:$C$45,A39&amp;" ("&amp;B39&amp;")",'Exception Register'!$J$6:$J$45,"Valid")&gt;0,1,0)))</f>
        <v>0</v>
      </c>
      <c r="T39" t="str">
        <f>IF(A39="","",IF(COUNTIF($A$6:$A$105,A39)&gt;1,"Duplicate Acceptance ID",IF(I39&lt;&gt;"Approved","Not approved",IF(OR(B39="",COUNTIF('Risk Register'!$A$6:$A$105,B39)&lt;&gt;1),"Unknown or duplicate Risk ID",IF(OR(G39="",J39=""),"Approval details missing",IF(OR(NOT(ISNUMBER(L39)),NOT(ISNUMBER(M39))),"Decision or expiry date missing/invalid",IF(OR(L39&lt;=0,L39&gt;Methodology!$B$4,M39&lt;L39),"Invalid decision or expiry date",IF(M39&lt;Methodology!$B$4,"Expired",IF(M39-L39&gt;Methodology!$B$6,"Exceeds maximum acceptance period",IF(O39&lt;&gt;"OK","Authority not sufficient","Eligible"))))))))))</f>
        <v/>
      </c>
    </row>
    <row r="40" spans="1:20" x14ac:dyDescent="0.35">
      <c r="A40" s="35"/>
      <c r="B40" s="35"/>
      <c r="C40" s="44" t="str">
        <f>IF(B40="","",IFERROR(INDEX('Risk Register'!$B$6:$B$105,MATCH(B40,'Risk Register'!$A$6:$A$105,0)),"Unknown Risk ID"))</f>
        <v/>
      </c>
      <c r="D40" s="38" t="str">
        <f>IF(B40="","",IFERROR(INDEX('Risk Register'!$D$6:$D$105,MATCH(B40,'Risk Register'!$A$6:$A$105,0)),""))</f>
        <v/>
      </c>
      <c r="E40" s="37" t="str">
        <f>IF(B40="","",IFERROR(INDEX('Risk Register'!$O$6:$O$105,MATCH(B40,'Risk Register'!$A$6:$A$105,0)),""))</f>
        <v/>
      </c>
      <c r="F40" s="38" t="str">
        <f>IF(B40="","",IFERROR(INDEX('Risk Register'!$U$6:$U$105,MATCH(B40,'Risk Register'!$A$6:$A$105,0)),""))</f>
        <v/>
      </c>
      <c r="G40" s="24"/>
      <c r="H40" s="24"/>
      <c r="I40" s="35"/>
      <c r="J40" s="35"/>
      <c r="K40" s="35"/>
      <c r="L40" s="46"/>
      <c r="M40" s="46"/>
      <c r="N40" s="38" t="str">
        <f>IF(F40="","",IFERROR(INDEX(Methodology!$B$48:$B$50,MATCH(F40,Methodology!$A$48:$A$50,0)),""))</f>
        <v/>
      </c>
      <c r="O40" s="38" t="str">
        <f>IF(OR(I40&lt;&gt;"Approved",F40=""),"",IF(F40="Within appetite","Not in breach",IF(K40="","Authority level not set",IF(IFERROR(MATCH(K40,Methodology!$B$49:$B$50,0),0)&gt;=IFERROR(MATCH(N40,Methodology!$B$49:$B$50,0),99),"OK","Insufficient authority"))))</f>
        <v/>
      </c>
      <c r="P40" s="38" t="str">
        <f>IF(A40="","",IF(I40&lt;&gt;"Approved",IF(I40="","No decision",I40),IF(M40="","Approved - no expiry",IF(M40&lt;Methodology!$B$4,"Expired",IF(M40-Methodology!$B$4&lt;=Methodology!$B$5,"Expiring soon","Active")))))</f>
        <v/>
      </c>
      <c r="Q40" s="37" t="str">
        <f>IF(OR(M40="",I40&lt;&gt;"Approved"),"",M40-Methodology!$B$4)</f>
        <v/>
      </c>
      <c r="R40" s="44" t="str">
        <f>IF(A40="","",IF(AND(I40="Approved",F40="Within appetite"),"Risk now within appetite: acceptance may be unnecessary",IF(AND(I40="Approved",L40&lt;&gt;"",M40&lt;&gt;"",M40-L40&gt;Methodology!$B$6),"Exceeds maximum acceptance period",IF(AND(I40="Approved",J40=""),"Approver not named",""))))</f>
        <v/>
      </c>
      <c r="S40">
        <f>IF(A40="",0,IF(O40&lt;&gt;"Insufficient authority",0,IF(COUNTIFS('Exception Register'!$B$6:$B$45,Checks!$A$11,'Exception Register'!$C$6:$C$45,A40&amp;" ("&amp;B40&amp;")",'Exception Register'!$J$6:$J$45,"Valid")&gt;0,1,0)))</f>
        <v>0</v>
      </c>
      <c r="T40" t="str">
        <f>IF(A40="","",IF(COUNTIF($A$6:$A$105,A40)&gt;1,"Duplicate Acceptance ID",IF(I40&lt;&gt;"Approved","Not approved",IF(OR(B40="",COUNTIF('Risk Register'!$A$6:$A$105,B40)&lt;&gt;1),"Unknown or duplicate Risk ID",IF(OR(G40="",J40=""),"Approval details missing",IF(OR(NOT(ISNUMBER(L40)),NOT(ISNUMBER(M40))),"Decision or expiry date missing/invalid",IF(OR(L40&lt;=0,L40&gt;Methodology!$B$4,M40&lt;L40),"Invalid decision or expiry date",IF(M40&lt;Methodology!$B$4,"Expired",IF(M40-L40&gt;Methodology!$B$6,"Exceeds maximum acceptance period",IF(O40&lt;&gt;"OK","Authority not sufficient","Eligible"))))))))))</f>
        <v/>
      </c>
    </row>
    <row r="41" spans="1:20" x14ac:dyDescent="0.35">
      <c r="A41" s="35"/>
      <c r="B41" s="35"/>
      <c r="C41" s="44" t="str">
        <f>IF(B41="","",IFERROR(INDEX('Risk Register'!$B$6:$B$105,MATCH(B41,'Risk Register'!$A$6:$A$105,0)),"Unknown Risk ID"))</f>
        <v/>
      </c>
      <c r="D41" s="38" t="str">
        <f>IF(B41="","",IFERROR(INDEX('Risk Register'!$D$6:$D$105,MATCH(B41,'Risk Register'!$A$6:$A$105,0)),""))</f>
        <v/>
      </c>
      <c r="E41" s="37" t="str">
        <f>IF(B41="","",IFERROR(INDEX('Risk Register'!$O$6:$O$105,MATCH(B41,'Risk Register'!$A$6:$A$105,0)),""))</f>
        <v/>
      </c>
      <c r="F41" s="38" t="str">
        <f>IF(B41="","",IFERROR(INDEX('Risk Register'!$U$6:$U$105,MATCH(B41,'Risk Register'!$A$6:$A$105,0)),""))</f>
        <v/>
      </c>
      <c r="G41" s="24"/>
      <c r="H41" s="24"/>
      <c r="I41" s="35"/>
      <c r="J41" s="35"/>
      <c r="K41" s="35"/>
      <c r="L41" s="46"/>
      <c r="M41" s="46"/>
      <c r="N41" s="38" t="str">
        <f>IF(F41="","",IFERROR(INDEX(Methodology!$B$48:$B$50,MATCH(F41,Methodology!$A$48:$A$50,0)),""))</f>
        <v/>
      </c>
      <c r="O41" s="38" t="str">
        <f>IF(OR(I41&lt;&gt;"Approved",F41=""),"",IF(F41="Within appetite","Not in breach",IF(K41="","Authority level not set",IF(IFERROR(MATCH(K41,Methodology!$B$49:$B$50,0),0)&gt;=IFERROR(MATCH(N41,Methodology!$B$49:$B$50,0),99),"OK","Insufficient authority"))))</f>
        <v/>
      </c>
      <c r="P41" s="38" t="str">
        <f>IF(A41="","",IF(I41&lt;&gt;"Approved",IF(I41="","No decision",I41),IF(M41="","Approved - no expiry",IF(M41&lt;Methodology!$B$4,"Expired",IF(M41-Methodology!$B$4&lt;=Methodology!$B$5,"Expiring soon","Active")))))</f>
        <v/>
      </c>
      <c r="Q41" s="37" t="str">
        <f>IF(OR(M41="",I41&lt;&gt;"Approved"),"",M41-Methodology!$B$4)</f>
        <v/>
      </c>
      <c r="R41" s="44" t="str">
        <f>IF(A41="","",IF(AND(I41="Approved",F41="Within appetite"),"Risk now within appetite: acceptance may be unnecessary",IF(AND(I41="Approved",L41&lt;&gt;"",M41&lt;&gt;"",M41-L41&gt;Methodology!$B$6),"Exceeds maximum acceptance period",IF(AND(I41="Approved",J41=""),"Approver not named",""))))</f>
        <v/>
      </c>
      <c r="S41">
        <f>IF(A41="",0,IF(O41&lt;&gt;"Insufficient authority",0,IF(COUNTIFS('Exception Register'!$B$6:$B$45,Checks!$A$11,'Exception Register'!$C$6:$C$45,A41&amp;" ("&amp;B41&amp;")",'Exception Register'!$J$6:$J$45,"Valid")&gt;0,1,0)))</f>
        <v>0</v>
      </c>
      <c r="T41" t="str">
        <f>IF(A41="","",IF(COUNTIF($A$6:$A$105,A41)&gt;1,"Duplicate Acceptance ID",IF(I41&lt;&gt;"Approved","Not approved",IF(OR(B41="",COUNTIF('Risk Register'!$A$6:$A$105,B41)&lt;&gt;1),"Unknown or duplicate Risk ID",IF(OR(G41="",J41=""),"Approval details missing",IF(OR(NOT(ISNUMBER(L41)),NOT(ISNUMBER(M41))),"Decision or expiry date missing/invalid",IF(OR(L41&lt;=0,L41&gt;Methodology!$B$4,M41&lt;L41),"Invalid decision or expiry date",IF(M41&lt;Methodology!$B$4,"Expired",IF(M41-L41&gt;Methodology!$B$6,"Exceeds maximum acceptance period",IF(O41&lt;&gt;"OK","Authority not sufficient","Eligible"))))))))))</f>
        <v/>
      </c>
    </row>
    <row r="42" spans="1:20" x14ac:dyDescent="0.35">
      <c r="A42" s="35"/>
      <c r="B42" s="35"/>
      <c r="C42" s="44" t="str">
        <f>IF(B42="","",IFERROR(INDEX('Risk Register'!$B$6:$B$105,MATCH(B42,'Risk Register'!$A$6:$A$105,0)),"Unknown Risk ID"))</f>
        <v/>
      </c>
      <c r="D42" s="38" t="str">
        <f>IF(B42="","",IFERROR(INDEX('Risk Register'!$D$6:$D$105,MATCH(B42,'Risk Register'!$A$6:$A$105,0)),""))</f>
        <v/>
      </c>
      <c r="E42" s="37" t="str">
        <f>IF(B42="","",IFERROR(INDEX('Risk Register'!$O$6:$O$105,MATCH(B42,'Risk Register'!$A$6:$A$105,0)),""))</f>
        <v/>
      </c>
      <c r="F42" s="38" t="str">
        <f>IF(B42="","",IFERROR(INDEX('Risk Register'!$U$6:$U$105,MATCH(B42,'Risk Register'!$A$6:$A$105,0)),""))</f>
        <v/>
      </c>
      <c r="G42" s="24"/>
      <c r="H42" s="24"/>
      <c r="I42" s="35"/>
      <c r="J42" s="35"/>
      <c r="K42" s="35"/>
      <c r="L42" s="46"/>
      <c r="M42" s="46"/>
      <c r="N42" s="38" t="str">
        <f>IF(F42="","",IFERROR(INDEX(Methodology!$B$48:$B$50,MATCH(F42,Methodology!$A$48:$A$50,0)),""))</f>
        <v/>
      </c>
      <c r="O42" s="38" t="str">
        <f>IF(OR(I42&lt;&gt;"Approved",F42=""),"",IF(F42="Within appetite","Not in breach",IF(K42="","Authority level not set",IF(IFERROR(MATCH(K42,Methodology!$B$49:$B$50,0),0)&gt;=IFERROR(MATCH(N42,Methodology!$B$49:$B$50,0),99),"OK","Insufficient authority"))))</f>
        <v/>
      </c>
      <c r="P42" s="38" t="str">
        <f>IF(A42="","",IF(I42&lt;&gt;"Approved",IF(I42="","No decision",I42),IF(M42="","Approved - no expiry",IF(M42&lt;Methodology!$B$4,"Expired",IF(M42-Methodology!$B$4&lt;=Methodology!$B$5,"Expiring soon","Active")))))</f>
        <v/>
      </c>
      <c r="Q42" s="37" t="str">
        <f>IF(OR(M42="",I42&lt;&gt;"Approved"),"",M42-Methodology!$B$4)</f>
        <v/>
      </c>
      <c r="R42" s="44" t="str">
        <f>IF(A42="","",IF(AND(I42="Approved",F42="Within appetite"),"Risk now within appetite: acceptance may be unnecessary",IF(AND(I42="Approved",L42&lt;&gt;"",M42&lt;&gt;"",M42-L42&gt;Methodology!$B$6),"Exceeds maximum acceptance period",IF(AND(I42="Approved",J42=""),"Approver not named",""))))</f>
        <v/>
      </c>
      <c r="S42">
        <f>IF(A42="",0,IF(O42&lt;&gt;"Insufficient authority",0,IF(COUNTIFS('Exception Register'!$B$6:$B$45,Checks!$A$11,'Exception Register'!$C$6:$C$45,A42&amp;" ("&amp;B42&amp;")",'Exception Register'!$J$6:$J$45,"Valid")&gt;0,1,0)))</f>
        <v>0</v>
      </c>
      <c r="T42" t="str">
        <f>IF(A42="","",IF(COUNTIF($A$6:$A$105,A42)&gt;1,"Duplicate Acceptance ID",IF(I42&lt;&gt;"Approved","Not approved",IF(OR(B42="",COUNTIF('Risk Register'!$A$6:$A$105,B42)&lt;&gt;1),"Unknown or duplicate Risk ID",IF(OR(G42="",J42=""),"Approval details missing",IF(OR(NOT(ISNUMBER(L42)),NOT(ISNUMBER(M42))),"Decision or expiry date missing/invalid",IF(OR(L42&lt;=0,L42&gt;Methodology!$B$4,M42&lt;L42),"Invalid decision or expiry date",IF(M42&lt;Methodology!$B$4,"Expired",IF(M42-L42&gt;Methodology!$B$6,"Exceeds maximum acceptance period",IF(O42&lt;&gt;"OK","Authority not sufficient","Eligible"))))))))))</f>
        <v/>
      </c>
    </row>
    <row r="43" spans="1:20" x14ac:dyDescent="0.35">
      <c r="A43" s="35"/>
      <c r="B43" s="35"/>
      <c r="C43" s="44" t="str">
        <f>IF(B43="","",IFERROR(INDEX('Risk Register'!$B$6:$B$105,MATCH(B43,'Risk Register'!$A$6:$A$105,0)),"Unknown Risk ID"))</f>
        <v/>
      </c>
      <c r="D43" s="38" t="str">
        <f>IF(B43="","",IFERROR(INDEX('Risk Register'!$D$6:$D$105,MATCH(B43,'Risk Register'!$A$6:$A$105,0)),""))</f>
        <v/>
      </c>
      <c r="E43" s="37" t="str">
        <f>IF(B43="","",IFERROR(INDEX('Risk Register'!$O$6:$O$105,MATCH(B43,'Risk Register'!$A$6:$A$105,0)),""))</f>
        <v/>
      </c>
      <c r="F43" s="38" t="str">
        <f>IF(B43="","",IFERROR(INDEX('Risk Register'!$U$6:$U$105,MATCH(B43,'Risk Register'!$A$6:$A$105,0)),""))</f>
        <v/>
      </c>
      <c r="G43" s="24"/>
      <c r="H43" s="24"/>
      <c r="I43" s="35"/>
      <c r="J43" s="35"/>
      <c r="K43" s="35"/>
      <c r="L43" s="46"/>
      <c r="M43" s="46"/>
      <c r="N43" s="38" t="str">
        <f>IF(F43="","",IFERROR(INDEX(Methodology!$B$48:$B$50,MATCH(F43,Methodology!$A$48:$A$50,0)),""))</f>
        <v/>
      </c>
      <c r="O43" s="38" t="str">
        <f>IF(OR(I43&lt;&gt;"Approved",F43=""),"",IF(F43="Within appetite","Not in breach",IF(K43="","Authority level not set",IF(IFERROR(MATCH(K43,Methodology!$B$49:$B$50,0),0)&gt;=IFERROR(MATCH(N43,Methodology!$B$49:$B$50,0),99),"OK","Insufficient authority"))))</f>
        <v/>
      </c>
      <c r="P43" s="38" t="str">
        <f>IF(A43="","",IF(I43&lt;&gt;"Approved",IF(I43="","No decision",I43),IF(M43="","Approved - no expiry",IF(M43&lt;Methodology!$B$4,"Expired",IF(M43-Methodology!$B$4&lt;=Methodology!$B$5,"Expiring soon","Active")))))</f>
        <v/>
      </c>
      <c r="Q43" s="37" t="str">
        <f>IF(OR(M43="",I43&lt;&gt;"Approved"),"",M43-Methodology!$B$4)</f>
        <v/>
      </c>
      <c r="R43" s="44" t="str">
        <f>IF(A43="","",IF(AND(I43="Approved",F43="Within appetite"),"Risk now within appetite: acceptance may be unnecessary",IF(AND(I43="Approved",L43&lt;&gt;"",M43&lt;&gt;"",M43-L43&gt;Methodology!$B$6),"Exceeds maximum acceptance period",IF(AND(I43="Approved",J43=""),"Approver not named",""))))</f>
        <v/>
      </c>
      <c r="S43">
        <f>IF(A43="",0,IF(O43&lt;&gt;"Insufficient authority",0,IF(COUNTIFS('Exception Register'!$B$6:$B$45,Checks!$A$11,'Exception Register'!$C$6:$C$45,A43&amp;" ("&amp;B43&amp;")",'Exception Register'!$J$6:$J$45,"Valid")&gt;0,1,0)))</f>
        <v>0</v>
      </c>
      <c r="T43" t="str">
        <f>IF(A43="","",IF(COUNTIF($A$6:$A$105,A43)&gt;1,"Duplicate Acceptance ID",IF(I43&lt;&gt;"Approved","Not approved",IF(OR(B43="",COUNTIF('Risk Register'!$A$6:$A$105,B43)&lt;&gt;1),"Unknown or duplicate Risk ID",IF(OR(G43="",J43=""),"Approval details missing",IF(OR(NOT(ISNUMBER(L43)),NOT(ISNUMBER(M43))),"Decision or expiry date missing/invalid",IF(OR(L43&lt;=0,L43&gt;Methodology!$B$4,M43&lt;L43),"Invalid decision or expiry date",IF(M43&lt;Methodology!$B$4,"Expired",IF(M43-L43&gt;Methodology!$B$6,"Exceeds maximum acceptance period",IF(O43&lt;&gt;"OK","Authority not sufficient","Eligible"))))))))))</f>
        <v/>
      </c>
    </row>
    <row r="44" spans="1:20" x14ac:dyDescent="0.35">
      <c r="A44" s="35"/>
      <c r="B44" s="35"/>
      <c r="C44" s="44" t="str">
        <f>IF(B44="","",IFERROR(INDEX('Risk Register'!$B$6:$B$105,MATCH(B44,'Risk Register'!$A$6:$A$105,0)),"Unknown Risk ID"))</f>
        <v/>
      </c>
      <c r="D44" s="38" t="str">
        <f>IF(B44="","",IFERROR(INDEX('Risk Register'!$D$6:$D$105,MATCH(B44,'Risk Register'!$A$6:$A$105,0)),""))</f>
        <v/>
      </c>
      <c r="E44" s="37" t="str">
        <f>IF(B44="","",IFERROR(INDEX('Risk Register'!$O$6:$O$105,MATCH(B44,'Risk Register'!$A$6:$A$105,0)),""))</f>
        <v/>
      </c>
      <c r="F44" s="38" t="str">
        <f>IF(B44="","",IFERROR(INDEX('Risk Register'!$U$6:$U$105,MATCH(B44,'Risk Register'!$A$6:$A$105,0)),""))</f>
        <v/>
      </c>
      <c r="G44" s="24"/>
      <c r="H44" s="24"/>
      <c r="I44" s="35"/>
      <c r="J44" s="35"/>
      <c r="K44" s="35"/>
      <c r="L44" s="46"/>
      <c r="M44" s="46"/>
      <c r="N44" s="38" t="str">
        <f>IF(F44="","",IFERROR(INDEX(Methodology!$B$48:$B$50,MATCH(F44,Methodology!$A$48:$A$50,0)),""))</f>
        <v/>
      </c>
      <c r="O44" s="38" t="str">
        <f>IF(OR(I44&lt;&gt;"Approved",F44=""),"",IF(F44="Within appetite","Not in breach",IF(K44="","Authority level not set",IF(IFERROR(MATCH(K44,Methodology!$B$49:$B$50,0),0)&gt;=IFERROR(MATCH(N44,Methodology!$B$49:$B$50,0),99),"OK","Insufficient authority"))))</f>
        <v/>
      </c>
      <c r="P44" s="38" t="str">
        <f>IF(A44="","",IF(I44&lt;&gt;"Approved",IF(I44="","No decision",I44),IF(M44="","Approved - no expiry",IF(M44&lt;Methodology!$B$4,"Expired",IF(M44-Methodology!$B$4&lt;=Methodology!$B$5,"Expiring soon","Active")))))</f>
        <v/>
      </c>
      <c r="Q44" s="37" t="str">
        <f>IF(OR(M44="",I44&lt;&gt;"Approved"),"",M44-Methodology!$B$4)</f>
        <v/>
      </c>
      <c r="R44" s="44" t="str">
        <f>IF(A44="","",IF(AND(I44="Approved",F44="Within appetite"),"Risk now within appetite: acceptance may be unnecessary",IF(AND(I44="Approved",L44&lt;&gt;"",M44&lt;&gt;"",M44-L44&gt;Methodology!$B$6),"Exceeds maximum acceptance period",IF(AND(I44="Approved",J44=""),"Approver not named",""))))</f>
        <v/>
      </c>
      <c r="S44">
        <f>IF(A44="",0,IF(O44&lt;&gt;"Insufficient authority",0,IF(COUNTIFS('Exception Register'!$B$6:$B$45,Checks!$A$11,'Exception Register'!$C$6:$C$45,A44&amp;" ("&amp;B44&amp;")",'Exception Register'!$J$6:$J$45,"Valid")&gt;0,1,0)))</f>
        <v>0</v>
      </c>
      <c r="T44" t="str">
        <f>IF(A44="","",IF(COUNTIF($A$6:$A$105,A44)&gt;1,"Duplicate Acceptance ID",IF(I44&lt;&gt;"Approved","Not approved",IF(OR(B44="",COUNTIF('Risk Register'!$A$6:$A$105,B44)&lt;&gt;1),"Unknown or duplicate Risk ID",IF(OR(G44="",J44=""),"Approval details missing",IF(OR(NOT(ISNUMBER(L44)),NOT(ISNUMBER(M44))),"Decision or expiry date missing/invalid",IF(OR(L44&lt;=0,L44&gt;Methodology!$B$4,M44&lt;L44),"Invalid decision or expiry date",IF(M44&lt;Methodology!$B$4,"Expired",IF(M44-L44&gt;Methodology!$B$6,"Exceeds maximum acceptance period",IF(O44&lt;&gt;"OK","Authority not sufficient","Eligible"))))))))))</f>
        <v/>
      </c>
    </row>
    <row r="45" spans="1:20" x14ac:dyDescent="0.35">
      <c r="A45" s="35"/>
      <c r="B45" s="35"/>
      <c r="C45" s="44" t="str">
        <f>IF(B45="","",IFERROR(INDEX('Risk Register'!$B$6:$B$105,MATCH(B45,'Risk Register'!$A$6:$A$105,0)),"Unknown Risk ID"))</f>
        <v/>
      </c>
      <c r="D45" s="38" t="str">
        <f>IF(B45="","",IFERROR(INDEX('Risk Register'!$D$6:$D$105,MATCH(B45,'Risk Register'!$A$6:$A$105,0)),""))</f>
        <v/>
      </c>
      <c r="E45" s="37" t="str">
        <f>IF(B45="","",IFERROR(INDEX('Risk Register'!$O$6:$O$105,MATCH(B45,'Risk Register'!$A$6:$A$105,0)),""))</f>
        <v/>
      </c>
      <c r="F45" s="38" t="str">
        <f>IF(B45="","",IFERROR(INDEX('Risk Register'!$U$6:$U$105,MATCH(B45,'Risk Register'!$A$6:$A$105,0)),""))</f>
        <v/>
      </c>
      <c r="G45" s="24"/>
      <c r="H45" s="24"/>
      <c r="I45" s="35"/>
      <c r="J45" s="35"/>
      <c r="K45" s="35"/>
      <c r="L45" s="46"/>
      <c r="M45" s="46"/>
      <c r="N45" s="38" t="str">
        <f>IF(F45="","",IFERROR(INDEX(Methodology!$B$48:$B$50,MATCH(F45,Methodology!$A$48:$A$50,0)),""))</f>
        <v/>
      </c>
      <c r="O45" s="38" t="str">
        <f>IF(OR(I45&lt;&gt;"Approved",F45=""),"",IF(F45="Within appetite","Not in breach",IF(K45="","Authority level not set",IF(IFERROR(MATCH(K45,Methodology!$B$49:$B$50,0),0)&gt;=IFERROR(MATCH(N45,Methodology!$B$49:$B$50,0),99),"OK","Insufficient authority"))))</f>
        <v/>
      </c>
      <c r="P45" s="38" t="str">
        <f>IF(A45="","",IF(I45&lt;&gt;"Approved",IF(I45="","No decision",I45),IF(M45="","Approved - no expiry",IF(M45&lt;Methodology!$B$4,"Expired",IF(M45-Methodology!$B$4&lt;=Methodology!$B$5,"Expiring soon","Active")))))</f>
        <v/>
      </c>
      <c r="Q45" s="37" t="str">
        <f>IF(OR(M45="",I45&lt;&gt;"Approved"),"",M45-Methodology!$B$4)</f>
        <v/>
      </c>
      <c r="R45" s="44" t="str">
        <f>IF(A45="","",IF(AND(I45="Approved",F45="Within appetite"),"Risk now within appetite: acceptance may be unnecessary",IF(AND(I45="Approved",L45&lt;&gt;"",M45&lt;&gt;"",M45-L45&gt;Methodology!$B$6),"Exceeds maximum acceptance period",IF(AND(I45="Approved",J45=""),"Approver not named",""))))</f>
        <v/>
      </c>
      <c r="S45">
        <f>IF(A45="",0,IF(O45&lt;&gt;"Insufficient authority",0,IF(COUNTIFS('Exception Register'!$B$6:$B$45,Checks!$A$11,'Exception Register'!$C$6:$C$45,A45&amp;" ("&amp;B45&amp;")",'Exception Register'!$J$6:$J$45,"Valid")&gt;0,1,0)))</f>
        <v>0</v>
      </c>
      <c r="T45" t="str">
        <f>IF(A45="","",IF(COUNTIF($A$6:$A$105,A45)&gt;1,"Duplicate Acceptance ID",IF(I45&lt;&gt;"Approved","Not approved",IF(OR(B45="",COUNTIF('Risk Register'!$A$6:$A$105,B45)&lt;&gt;1),"Unknown or duplicate Risk ID",IF(OR(G45="",J45=""),"Approval details missing",IF(OR(NOT(ISNUMBER(L45)),NOT(ISNUMBER(M45))),"Decision or expiry date missing/invalid",IF(OR(L45&lt;=0,L45&gt;Methodology!$B$4,M45&lt;L45),"Invalid decision or expiry date",IF(M45&lt;Methodology!$B$4,"Expired",IF(M45-L45&gt;Methodology!$B$6,"Exceeds maximum acceptance period",IF(O45&lt;&gt;"OK","Authority not sufficient","Eligible"))))))))))</f>
        <v/>
      </c>
    </row>
    <row r="46" spans="1:20" x14ac:dyDescent="0.35">
      <c r="A46" s="35"/>
      <c r="B46" s="35"/>
      <c r="C46" s="44" t="str">
        <f>IF(B46="","",IFERROR(INDEX('Risk Register'!$B$6:$B$105,MATCH(B46,'Risk Register'!$A$6:$A$105,0)),"Unknown Risk ID"))</f>
        <v/>
      </c>
      <c r="D46" s="38" t="str">
        <f>IF(B46="","",IFERROR(INDEX('Risk Register'!$D$6:$D$105,MATCH(B46,'Risk Register'!$A$6:$A$105,0)),""))</f>
        <v/>
      </c>
      <c r="E46" s="37" t="str">
        <f>IF(B46="","",IFERROR(INDEX('Risk Register'!$O$6:$O$105,MATCH(B46,'Risk Register'!$A$6:$A$105,0)),""))</f>
        <v/>
      </c>
      <c r="F46" s="38" t="str">
        <f>IF(B46="","",IFERROR(INDEX('Risk Register'!$U$6:$U$105,MATCH(B46,'Risk Register'!$A$6:$A$105,0)),""))</f>
        <v/>
      </c>
      <c r="G46" s="24"/>
      <c r="H46" s="24"/>
      <c r="I46" s="35"/>
      <c r="J46" s="35"/>
      <c r="K46" s="35"/>
      <c r="L46" s="46"/>
      <c r="M46" s="46"/>
      <c r="N46" s="38" t="str">
        <f>IF(F46="","",IFERROR(INDEX(Methodology!$B$48:$B$50,MATCH(F46,Methodology!$A$48:$A$50,0)),""))</f>
        <v/>
      </c>
      <c r="O46" s="38" t="str">
        <f>IF(OR(I46&lt;&gt;"Approved",F46=""),"",IF(F46="Within appetite","Not in breach",IF(K46="","Authority level not set",IF(IFERROR(MATCH(K46,Methodology!$B$49:$B$50,0),0)&gt;=IFERROR(MATCH(N46,Methodology!$B$49:$B$50,0),99),"OK","Insufficient authority"))))</f>
        <v/>
      </c>
      <c r="P46" s="38" t="str">
        <f>IF(A46="","",IF(I46&lt;&gt;"Approved",IF(I46="","No decision",I46),IF(M46="","Approved - no expiry",IF(M46&lt;Methodology!$B$4,"Expired",IF(M46-Methodology!$B$4&lt;=Methodology!$B$5,"Expiring soon","Active")))))</f>
        <v/>
      </c>
      <c r="Q46" s="37" t="str">
        <f>IF(OR(M46="",I46&lt;&gt;"Approved"),"",M46-Methodology!$B$4)</f>
        <v/>
      </c>
      <c r="R46" s="44" t="str">
        <f>IF(A46="","",IF(AND(I46="Approved",F46="Within appetite"),"Risk now within appetite: acceptance may be unnecessary",IF(AND(I46="Approved",L46&lt;&gt;"",M46&lt;&gt;"",M46-L46&gt;Methodology!$B$6),"Exceeds maximum acceptance period",IF(AND(I46="Approved",J46=""),"Approver not named",""))))</f>
        <v/>
      </c>
      <c r="S46">
        <f>IF(A46="",0,IF(O46&lt;&gt;"Insufficient authority",0,IF(COUNTIFS('Exception Register'!$B$6:$B$45,Checks!$A$11,'Exception Register'!$C$6:$C$45,A46&amp;" ("&amp;B46&amp;")",'Exception Register'!$J$6:$J$45,"Valid")&gt;0,1,0)))</f>
        <v>0</v>
      </c>
      <c r="T46" t="str">
        <f>IF(A46="","",IF(COUNTIF($A$6:$A$105,A46)&gt;1,"Duplicate Acceptance ID",IF(I46&lt;&gt;"Approved","Not approved",IF(OR(B46="",COUNTIF('Risk Register'!$A$6:$A$105,B46)&lt;&gt;1),"Unknown or duplicate Risk ID",IF(OR(G46="",J46=""),"Approval details missing",IF(OR(NOT(ISNUMBER(L46)),NOT(ISNUMBER(M46))),"Decision or expiry date missing/invalid",IF(OR(L46&lt;=0,L46&gt;Methodology!$B$4,M46&lt;L46),"Invalid decision or expiry date",IF(M46&lt;Methodology!$B$4,"Expired",IF(M46-L46&gt;Methodology!$B$6,"Exceeds maximum acceptance period",IF(O46&lt;&gt;"OK","Authority not sufficient","Eligible"))))))))))</f>
        <v/>
      </c>
    </row>
    <row r="47" spans="1:20" x14ac:dyDescent="0.35">
      <c r="A47" s="35"/>
      <c r="B47" s="35"/>
      <c r="C47" s="44" t="str">
        <f>IF(B47="","",IFERROR(INDEX('Risk Register'!$B$6:$B$105,MATCH(B47,'Risk Register'!$A$6:$A$105,0)),"Unknown Risk ID"))</f>
        <v/>
      </c>
      <c r="D47" s="38" t="str">
        <f>IF(B47="","",IFERROR(INDEX('Risk Register'!$D$6:$D$105,MATCH(B47,'Risk Register'!$A$6:$A$105,0)),""))</f>
        <v/>
      </c>
      <c r="E47" s="37" t="str">
        <f>IF(B47="","",IFERROR(INDEX('Risk Register'!$O$6:$O$105,MATCH(B47,'Risk Register'!$A$6:$A$105,0)),""))</f>
        <v/>
      </c>
      <c r="F47" s="38" t="str">
        <f>IF(B47="","",IFERROR(INDEX('Risk Register'!$U$6:$U$105,MATCH(B47,'Risk Register'!$A$6:$A$105,0)),""))</f>
        <v/>
      </c>
      <c r="G47" s="24"/>
      <c r="H47" s="24"/>
      <c r="I47" s="35"/>
      <c r="J47" s="35"/>
      <c r="K47" s="35"/>
      <c r="L47" s="46"/>
      <c r="M47" s="46"/>
      <c r="N47" s="38" t="str">
        <f>IF(F47="","",IFERROR(INDEX(Methodology!$B$48:$B$50,MATCH(F47,Methodology!$A$48:$A$50,0)),""))</f>
        <v/>
      </c>
      <c r="O47" s="38" t="str">
        <f>IF(OR(I47&lt;&gt;"Approved",F47=""),"",IF(F47="Within appetite","Not in breach",IF(K47="","Authority level not set",IF(IFERROR(MATCH(K47,Methodology!$B$49:$B$50,0),0)&gt;=IFERROR(MATCH(N47,Methodology!$B$49:$B$50,0),99),"OK","Insufficient authority"))))</f>
        <v/>
      </c>
      <c r="P47" s="38" t="str">
        <f>IF(A47="","",IF(I47&lt;&gt;"Approved",IF(I47="","No decision",I47),IF(M47="","Approved - no expiry",IF(M47&lt;Methodology!$B$4,"Expired",IF(M47-Methodology!$B$4&lt;=Methodology!$B$5,"Expiring soon","Active")))))</f>
        <v/>
      </c>
      <c r="Q47" s="37" t="str">
        <f>IF(OR(M47="",I47&lt;&gt;"Approved"),"",M47-Methodology!$B$4)</f>
        <v/>
      </c>
      <c r="R47" s="44" t="str">
        <f>IF(A47="","",IF(AND(I47="Approved",F47="Within appetite"),"Risk now within appetite: acceptance may be unnecessary",IF(AND(I47="Approved",L47&lt;&gt;"",M47&lt;&gt;"",M47-L47&gt;Methodology!$B$6),"Exceeds maximum acceptance period",IF(AND(I47="Approved",J47=""),"Approver not named",""))))</f>
        <v/>
      </c>
      <c r="S47">
        <f>IF(A47="",0,IF(O47&lt;&gt;"Insufficient authority",0,IF(COUNTIFS('Exception Register'!$B$6:$B$45,Checks!$A$11,'Exception Register'!$C$6:$C$45,A47&amp;" ("&amp;B47&amp;")",'Exception Register'!$J$6:$J$45,"Valid")&gt;0,1,0)))</f>
        <v>0</v>
      </c>
      <c r="T47" t="str">
        <f>IF(A47="","",IF(COUNTIF($A$6:$A$105,A47)&gt;1,"Duplicate Acceptance ID",IF(I47&lt;&gt;"Approved","Not approved",IF(OR(B47="",COUNTIF('Risk Register'!$A$6:$A$105,B47)&lt;&gt;1),"Unknown or duplicate Risk ID",IF(OR(G47="",J47=""),"Approval details missing",IF(OR(NOT(ISNUMBER(L47)),NOT(ISNUMBER(M47))),"Decision or expiry date missing/invalid",IF(OR(L47&lt;=0,L47&gt;Methodology!$B$4,M47&lt;L47),"Invalid decision or expiry date",IF(M47&lt;Methodology!$B$4,"Expired",IF(M47-L47&gt;Methodology!$B$6,"Exceeds maximum acceptance period",IF(O47&lt;&gt;"OK","Authority not sufficient","Eligible"))))))))))</f>
        <v/>
      </c>
    </row>
    <row r="48" spans="1:20" x14ac:dyDescent="0.35">
      <c r="A48" s="35"/>
      <c r="B48" s="35"/>
      <c r="C48" s="44" t="str">
        <f>IF(B48="","",IFERROR(INDEX('Risk Register'!$B$6:$B$105,MATCH(B48,'Risk Register'!$A$6:$A$105,0)),"Unknown Risk ID"))</f>
        <v/>
      </c>
      <c r="D48" s="38" t="str">
        <f>IF(B48="","",IFERROR(INDEX('Risk Register'!$D$6:$D$105,MATCH(B48,'Risk Register'!$A$6:$A$105,0)),""))</f>
        <v/>
      </c>
      <c r="E48" s="37" t="str">
        <f>IF(B48="","",IFERROR(INDEX('Risk Register'!$O$6:$O$105,MATCH(B48,'Risk Register'!$A$6:$A$105,0)),""))</f>
        <v/>
      </c>
      <c r="F48" s="38" t="str">
        <f>IF(B48="","",IFERROR(INDEX('Risk Register'!$U$6:$U$105,MATCH(B48,'Risk Register'!$A$6:$A$105,0)),""))</f>
        <v/>
      </c>
      <c r="G48" s="24"/>
      <c r="H48" s="24"/>
      <c r="I48" s="35"/>
      <c r="J48" s="35"/>
      <c r="K48" s="35"/>
      <c r="L48" s="46"/>
      <c r="M48" s="46"/>
      <c r="N48" s="38" t="str">
        <f>IF(F48="","",IFERROR(INDEX(Methodology!$B$48:$B$50,MATCH(F48,Methodology!$A$48:$A$50,0)),""))</f>
        <v/>
      </c>
      <c r="O48" s="38" t="str">
        <f>IF(OR(I48&lt;&gt;"Approved",F48=""),"",IF(F48="Within appetite","Not in breach",IF(K48="","Authority level not set",IF(IFERROR(MATCH(K48,Methodology!$B$49:$B$50,0),0)&gt;=IFERROR(MATCH(N48,Methodology!$B$49:$B$50,0),99),"OK","Insufficient authority"))))</f>
        <v/>
      </c>
      <c r="P48" s="38" t="str">
        <f>IF(A48="","",IF(I48&lt;&gt;"Approved",IF(I48="","No decision",I48),IF(M48="","Approved - no expiry",IF(M48&lt;Methodology!$B$4,"Expired",IF(M48-Methodology!$B$4&lt;=Methodology!$B$5,"Expiring soon","Active")))))</f>
        <v/>
      </c>
      <c r="Q48" s="37" t="str">
        <f>IF(OR(M48="",I48&lt;&gt;"Approved"),"",M48-Methodology!$B$4)</f>
        <v/>
      </c>
      <c r="R48" s="44" t="str">
        <f>IF(A48="","",IF(AND(I48="Approved",F48="Within appetite"),"Risk now within appetite: acceptance may be unnecessary",IF(AND(I48="Approved",L48&lt;&gt;"",M48&lt;&gt;"",M48-L48&gt;Methodology!$B$6),"Exceeds maximum acceptance period",IF(AND(I48="Approved",J48=""),"Approver not named",""))))</f>
        <v/>
      </c>
      <c r="S48">
        <f>IF(A48="",0,IF(O48&lt;&gt;"Insufficient authority",0,IF(COUNTIFS('Exception Register'!$B$6:$B$45,Checks!$A$11,'Exception Register'!$C$6:$C$45,A48&amp;" ("&amp;B48&amp;")",'Exception Register'!$J$6:$J$45,"Valid")&gt;0,1,0)))</f>
        <v>0</v>
      </c>
      <c r="T48" t="str">
        <f>IF(A48="","",IF(COUNTIF($A$6:$A$105,A48)&gt;1,"Duplicate Acceptance ID",IF(I48&lt;&gt;"Approved","Not approved",IF(OR(B48="",COUNTIF('Risk Register'!$A$6:$A$105,B48)&lt;&gt;1),"Unknown or duplicate Risk ID",IF(OR(G48="",J48=""),"Approval details missing",IF(OR(NOT(ISNUMBER(L48)),NOT(ISNUMBER(M48))),"Decision or expiry date missing/invalid",IF(OR(L48&lt;=0,L48&gt;Methodology!$B$4,M48&lt;L48),"Invalid decision or expiry date",IF(M48&lt;Methodology!$B$4,"Expired",IF(M48-L48&gt;Methodology!$B$6,"Exceeds maximum acceptance period",IF(O48&lt;&gt;"OK","Authority not sufficient","Eligible"))))))))))</f>
        <v/>
      </c>
    </row>
    <row r="49" spans="1:20" x14ac:dyDescent="0.35">
      <c r="A49" s="35"/>
      <c r="B49" s="35"/>
      <c r="C49" s="44" t="str">
        <f>IF(B49="","",IFERROR(INDEX('Risk Register'!$B$6:$B$105,MATCH(B49,'Risk Register'!$A$6:$A$105,0)),"Unknown Risk ID"))</f>
        <v/>
      </c>
      <c r="D49" s="38" t="str">
        <f>IF(B49="","",IFERROR(INDEX('Risk Register'!$D$6:$D$105,MATCH(B49,'Risk Register'!$A$6:$A$105,0)),""))</f>
        <v/>
      </c>
      <c r="E49" s="37" t="str">
        <f>IF(B49="","",IFERROR(INDEX('Risk Register'!$O$6:$O$105,MATCH(B49,'Risk Register'!$A$6:$A$105,0)),""))</f>
        <v/>
      </c>
      <c r="F49" s="38" t="str">
        <f>IF(B49="","",IFERROR(INDEX('Risk Register'!$U$6:$U$105,MATCH(B49,'Risk Register'!$A$6:$A$105,0)),""))</f>
        <v/>
      </c>
      <c r="G49" s="24"/>
      <c r="H49" s="24"/>
      <c r="I49" s="35"/>
      <c r="J49" s="35"/>
      <c r="K49" s="35"/>
      <c r="L49" s="46"/>
      <c r="M49" s="46"/>
      <c r="N49" s="38" t="str">
        <f>IF(F49="","",IFERROR(INDEX(Methodology!$B$48:$B$50,MATCH(F49,Methodology!$A$48:$A$50,0)),""))</f>
        <v/>
      </c>
      <c r="O49" s="38" t="str">
        <f>IF(OR(I49&lt;&gt;"Approved",F49=""),"",IF(F49="Within appetite","Not in breach",IF(K49="","Authority level not set",IF(IFERROR(MATCH(K49,Methodology!$B$49:$B$50,0),0)&gt;=IFERROR(MATCH(N49,Methodology!$B$49:$B$50,0),99),"OK","Insufficient authority"))))</f>
        <v/>
      </c>
      <c r="P49" s="38" t="str">
        <f>IF(A49="","",IF(I49&lt;&gt;"Approved",IF(I49="","No decision",I49),IF(M49="","Approved - no expiry",IF(M49&lt;Methodology!$B$4,"Expired",IF(M49-Methodology!$B$4&lt;=Methodology!$B$5,"Expiring soon","Active")))))</f>
        <v/>
      </c>
      <c r="Q49" s="37" t="str">
        <f>IF(OR(M49="",I49&lt;&gt;"Approved"),"",M49-Methodology!$B$4)</f>
        <v/>
      </c>
      <c r="R49" s="44" t="str">
        <f>IF(A49="","",IF(AND(I49="Approved",F49="Within appetite"),"Risk now within appetite: acceptance may be unnecessary",IF(AND(I49="Approved",L49&lt;&gt;"",M49&lt;&gt;"",M49-L49&gt;Methodology!$B$6),"Exceeds maximum acceptance period",IF(AND(I49="Approved",J49=""),"Approver not named",""))))</f>
        <v/>
      </c>
      <c r="S49">
        <f>IF(A49="",0,IF(O49&lt;&gt;"Insufficient authority",0,IF(COUNTIFS('Exception Register'!$B$6:$B$45,Checks!$A$11,'Exception Register'!$C$6:$C$45,A49&amp;" ("&amp;B49&amp;")",'Exception Register'!$J$6:$J$45,"Valid")&gt;0,1,0)))</f>
        <v>0</v>
      </c>
      <c r="T49" t="str">
        <f>IF(A49="","",IF(COUNTIF($A$6:$A$105,A49)&gt;1,"Duplicate Acceptance ID",IF(I49&lt;&gt;"Approved","Not approved",IF(OR(B49="",COUNTIF('Risk Register'!$A$6:$A$105,B49)&lt;&gt;1),"Unknown or duplicate Risk ID",IF(OR(G49="",J49=""),"Approval details missing",IF(OR(NOT(ISNUMBER(L49)),NOT(ISNUMBER(M49))),"Decision or expiry date missing/invalid",IF(OR(L49&lt;=0,L49&gt;Methodology!$B$4,M49&lt;L49),"Invalid decision or expiry date",IF(M49&lt;Methodology!$B$4,"Expired",IF(M49-L49&gt;Methodology!$B$6,"Exceeds maximum acceptance period",IF(O49&lt;&gt;"OK","Authority not sufficient","Eligible"))))))))))</f>
        <v/>
      </c>
    </row>
    <row r="50" spans="1:20" x14ac:dyDescent="0.35">
      <c r="A50" s="35"/>
      <c r="B50" s="35"/>
      <c r="C50" s="44" t="str">
        <f>IF(B50="","",IFERROR(INDEX('Risk Register'!$B$6:$B$105,MATCH(B50,'Risk Register'!$A$6:$A$105,0)),"Unknown Risk ID"))</f>
        <v/>
      </c>
      <c r="D50" s="38" t="str">
        <f>IF(B50="","",IFERROR(INDEX('Risk Register'!$D$6:$D$105,MATCH(B50,'Risk Register'!$A$6:$A$105,0)),""))</f>
        <v/>
      </c>
      <c r="E50" s="37" t="str">
        <f>IF(B50="","",IFERROR(INDEX('Risk Register'!$O$6:$O$105,MATCH(B50,'Risk Register'!$A$6:$A$105,0)),""))</f>
        <v/>
      </c>
      <c r="F50" s="38" t="str">
        <f>IF(B50="","",IFERROR(INDEX('Risk Register'!$U$6:$U$105,MATCH(B50,'Risk Register'!$A$6:$A$105,0)),""))</f>
        <v/>
      </c>
      <c r="G50" s="24"/>
      <c r="H50" s="24"/>
      <c r="I50" s="35"/>
      <c r="J50" s="35"/>
      <c r="K50" s="35"/>
      <c r="L50" s="46"/>
      <c r="M50" s="46"/>
      <c r="N50" s="38" t="str">
        <f>IF(F50="","",IFERROR(INDEX(Methodology!$B$48:$B$50,MATCH(F50,Methodology!$A$48:$A$50,0)),""))</f>
        <v/>
      </c>
      <c r="O50" s="38" t="str">
        <f>IF(OR(I50&lt;&gt;"Approved",F50=""),"",IF(F50="Within appetite","Not in breach",IF(K50="","Authority level not set",IF(IFERROR(MATCH(K50,Methodology!$B$49:$B$50,0),0)&gt;=IFERROR(MATCH(N50,Methodology!$B$49:$B$50,0),99),"OK","Insufficient authority"))))</f>
        <v/>
      </c>
      <c r="P50" s="38" t="str">
        <f>IF(A50="","",IF(I50&lt;&gt;"Approved",IF(I50="","No decision",I50),IF(M50="","Approved - no expiry",IF(M50&lt;Methodology!$B$4,"Expired",IF(M50-Methodology!$B$4&lt;=Methodology!$B$5,"Expiring soon","Active")))))</f>
        <v/>
      </c>
      <c r="Q50" s="37" t="str">
        <f>IF(OR(M50="",I50&lt;&gt;"Approved"),"",M50-Methodology!$B$4)</f>
        <v/>
      </c>
      <c r="R50" s="44" t="str">
        <f>IF(A50="","",IF(AND(I50="Approved",F50="Within appetite"),"Risk now within appetite: acceptance may be unnecessary",IF(AND(I50="Approved",L50&lt;&gt;"",M50&lt;&gt;"",M50-L50&gt;Methodology!$B$6),"Exceeds maximum acceptance period",IF(AND(I50="Approved",J50=""),"Approver not named",""))))</f>
        <v/>
      </c>
      <c r="S50">
        <f>IF(A50="",0,IF(O50&lt;&gt;"Insufficient authority",0,IF(COUNTIFS('Exception Register'!$B$6:$B$45,Checks!$A$11,'Exception Register'!$C$6:$C$45,A50&amp;" ("&amp;B50&amp;")",'Exception Register'!$J$6:$J$45,"Valid")&gt;0,1,0)))</f>
        <v>0</v>
      </c>
      <c r="T50" t="str">
        <f>IF(A50="","",IF(COUNTIF($A$6:$A$105,A50)&gt;1,"Duplicate Acceptance ID",IF(I50&lt;&gt;"Approved","Not approved",IF(OR(B50="",COUNTIF('Risk Register'!$A$6:$A$105,B50)&lt;&gt;1),"Unknown or duplicate Risk ID",IF(OR(G50="",J50=""),"Approval details missing",IF(OR(NOT(ISNUMBER(L50)),NOT(ISNUMBER(M50))),"Decision or expiry date missing/invalid",IF(OR(L50&lt;=0,L50&gt;Methodology!$B$4,M50&lt;L50),"Invalid decision or expiry date",IF(M50&lt;Methodology!$B$4,"Expired",IF(M50-L50&gt;Methodology!$B$6,"Exceeds maximum acceptance period",IF(O50&lt;&gt;"OK","Authority not sufficient","Eligible"))))))))))</f>
        <v/>
      </c>
    </row>
    <row r="51" spans="1:20" x14ac:dyDescent="0.35">
      <c r="A51" s="35"/>
      <c r="B51" s="35"/>
      <c r="C51" s="44" t="str">
        <f>IF(B51="","",IFERROR(INDEX('Risk Register'!$B$6:$B$105,MATCH(B51,'Risk Register'!$A$6:$A$105,0)),"Unknown Risk ID"))</f>
        <v/>
      </c>
      <c r="D51" s="38" t="str">
        <f>IF(B51="","",IFERROR(INDEX('Risk Register'!$D$6:$D$105,MATCH(B51,'Risk Register'!$A$6:$A$105,0)),""))</f>
        <v/>
      </c>
      <c r="E51" s="37" t="str">
        <f>IF(B51="","",IFERROR(INDEX('Risk Register'!$O$6:$O$105,MATCH(B51,'Risk Register'!$A$6:$A$105,0)),""))</f>
        <v/>
      </c>
      <c r="F51" s="38" t="str">
        <f>IF(B51="","",IFERROR(INDEX('Risk Register'!$U$6:$U$105,MATCH(B51,'Risk Register'!$A$6:$A$105,0)),""))</f>
        <v/>
      </c>
      <c r="G51" s="24"/>
      <c r="H51" s="24"/>
      <c r="I51" s="35"/>
      <c r="J51" s="35"/>
      <c r="K51" s="35"/>
      <c r="L51" s="46"/>
      <c r="M51" s="46"/>
      <c r="N51" s="38" t="str">
        <f>IF(F51="","",IFERROR(INDEX(Methodology!$B$48:$B$50,MATCH(F51,Methodology!$A$48:$A$50,0)),""))</f>
        <v/>
      </c>
      <c r="O51" s="38" t="str">
        <f>IF(OR(I51&lt;&gt;"Approved",F51=""),"",IF(F51="Within appetite","Not in breach",IF(K51="","Authority level not set",IF(IFERROR(MATCH(K51,Methodology!$B$49:$B$50,0),0)&gt;=IFERROR(MATCH(N51,Methodology!$B$49:$B$50,0),99),"OK","Insufficient authority"))))</f>
        <v/>
      </c>
      <c r="P51" s="38" t="str">
        <f>IF(A51="","",IF(I51&lt;&gt;"Approved",IF(I51="","No decision",I51),IF(M51="","Approved - no expiry",IF(M51&lt;Methodology!$B$4,"Expired",IF(M51-Methodology!$B$4&lt;=Methodology!$B$5,"Expiring soon","Active")))))</f>
        <v/>
      </c>
      <c r="Q51" s="37" t="str">
        <f>IF(OR(M51="",I51&lt;&gt;"Approved"),"",M51-Methodology!$B$4)</f>
        <v/>
      </c>
      <c r="R51" s="44" t="str">
        <f>IF(A51="","",IF(AND(I51="Approved",F51="Within appetite"),"Risk now within appetite: acceptance may be unnecessary",IF(AND(I51="Approved",L51&lt;&gt;"",M51&lt;&gt;"",M51-L51&gt;Methodology!$B$6),"Exceeds maximum acceptance period",IF(AND(I51="Approved",J51=""),"Approver not named",""))))</f>
        <v/>
      </c>
      <c r="S51">
        <f>IF(A51="",0,IF(O51&lt;&gt;"Insufficient authority",0,IF(COUNTIFS('Exception Register'!$B$6:$B$45,Checks!$A$11,'Exception Register'!$C$6:$C$45,A51&amp;" ("&amp;B51&amp;")",'Exception Register'!$J$6:$J$45,"Valid")&gt;0,1,0)))</f>
        <v>0</v>
      </c>
      <c r="T51" t="str">
        <f>IF(A51="","",IF(COUNTIF($A$6:$A$105,A51)&gt;1,"Duplicate Acceptance ID",IF(I51&lt;&gt;"Approved","Not approved",IF(OR(B51="",COUNTIF('Risk Register'!$A$6:$A$105,B51)&lt;&gt;1),"Unknown or duplicate Risk ID",IF(OR(G51="",J51=""),"Approval details missing",IF(OR(NOT(ISNUMBER(L51)),NOT(ISNUMBER(M51))),"Decision or expiry date missing/invalid",IF(OR(L51&lt;=0,L51&gt;Methodology!$B$4,M51&lt;L51),"Invalid decision or expiry date",IF(M51&lt;Methodology!$B$4,"Expired",IF(M51-L51&gt;Methodology!$B$6,"Exceeds maximum acceptance period",IF(O51&lt;&gt;"OK","Authority not sufficient","Eligible"))))))))))</f>
        <v/>
      </c>
    </row>
    <row r="52" spans="1:20" x14ac:dyDescent="0.35">
      <c r="A52" s="35"/>
      <c r="B52" s="35"/>
      <c r="C52" s="44" t="str">
        <f>IF(B52="","",IFERROR(INDEX('Risk Register'!$B$6:$B$105,MATCH(B52,'Risk Register'!$A$6:$A$105,0)),"Unknown Risk ID"))</f>
        <v/>
      </c>
      <c r="D52" s="38" t="str">
        <f>IF(B52="","",IFERROR(INDEX('Risk Register'!$D$6:$D$105,MATCH(B52,'Risk Register'!$A$6:$A$105,0)),""))</f>
        <v/>
      </c>
      <c r="E52" s="37" t="str">
        <f>IF(B52="","",IFERROR(INDEX('Risk Register'!$O$6:$O$105,MATCH(B52,'Risk Register'!$A$6:$A$105,0)),""))</f>
        <v/>
      </c>
      <c r="F52" s="38" t="str">
        <f>IF(B52="","",IFERROR(INDEX('Risk Register'!$U$6:$U$105,MATCH(B52,'Risk Register'!$A$6:$A$105,0)),""))</f>
        <v/>
      </c>
      <c r="G52" s="24"/>
      <c r="H52" s="24"/>
      <c r="I52" s="35"/>
      <c r="J52" s="35"/>
      <c r="K52" s="35"/>
      <c r="L52" s="46"/>
      <c r="M52" s="46"/>
      <c r="N52" s="38" t="str">
        <f>IF(F52="","",IFERROR(INDEX(Methodology!$B$48:$B$50,MATCH(F52,Methodology!$A$48:$A$50,0)),""))</f>
        <v/>
      </c>
      <c r="O52" s="38" t="str">
        <f>IF(OR(I52&lt;&gt;"Approved",F52=""),"",IF(F52="Within appetite","Not in breach",IF(K52="","Authority level not set",IF(IFERROR(MATCH(K52,Methodology!$B$49:$B$50,0),0)&gt;=IFERROR(MATCH(N52,Methodology!$B$49:$B$50,0),99),"OK","Insufficient authority"))))</f>
        <v/>
      </c>
      <c r="P52" s="38" t="str">
        <f>IF(A52="","",IF(I52&lt;&gt;"Approved",IF(I52="","No decision",I52),IF(M52="","Approved - no expiry",IF(M52&lt;Methodology!$B$4,"Expired",IF(M52-Methodology!$B$4&lt;=Methodology!$B$5,"Expiring soon","Active")))))</f>
        <v/>
      </c>
      <c r="Q52" s="37" t="str">
        <f>IF(OR(M52="",I52&lt;&gt;"Approved"),"",M52-Methodology!$B$4)</f>
        <v/>
      </c>
      <c r="R52" s="44" t="str">
        <f>IF(A52="","",IF(AND(I52="Approved",F52="Within appetite"),"Risk now within appetite: acceptance may be unnecessary",IF(AND(I52="Approved",L52&lt;&gt;"",M52&lt;&gt;"",M52-L52&gt;Methodology!$B$6),"Exceeds maximum acceptance period",IF(AND(I52="Approved",J52=""),"Approver not named",""))))</f>
        <v/>
      </c>
      <c r="S52">
        <f>IF(A52="",0,IF(O52&lt;&gt;"Insufficient authority",0,IF(COUNTIFS('Exception Register'!$B$6:$B$45,Checks!$A$11,'Exception Register'!$C$6:$C$45,A52&amp;" ("&amp;B52&amp;")",'Exception Register'!$J$6:$J$45,"Valid")&gt;0,1,0)))</f>
        <v>0</v>
      </c>
      <c r="T52" t="str">
        <f>IF(A52="","",IF(COUNTIF($A$6:$A$105,A52)&gt;1,"Duplicate Acceptance ID",IF(I52&lt;&gt;"Approved","Not approved",IF(OR(B52="",COUNTIF('Risk Register'!$A$6:$A$105,B52)&lt;&gt;1),"Unknown or duplicate Risk ID",IF(OR(G52="",J52=""),"Approval details missing",IF(OR(NOT(ISNUMBER(L52)),NOT(ISNUMBER(M52))),"Decision or expiry date missing/invalid",IF(OR(L52&lt;=0,L52&gt;Methodology!$B$4,M52&lt;L52),"Invalid decision or expiry date",IF(M52&lt;Methodology!$B$4,"Expired",IF(M52-L52&gt;Methodology!$B$6,"Exceeds maximum acceptance period",IF(O52&lt;&gt;"OK","Authority not sufficient","Eligible"))))))))))</f>
        <v/>
      </c>
    </row>
    <row r="53" spans="1:20" x14ac:dyDescent="0.35">
      <c r="A53" s="35"/>
      <c r="B53" s="35"/>
      <c r="C53" s="44" t="str">
        <f>IF(B53="","",IFERROR(INDEX('Risk Register'!$B$6:$B$105,MATCH(B53,'Risk Register'!$A$6:$A$105,0)),"Unknown Risk ID"))</f>
        <v/>
      </c>
      <c r="D53" s="38" t="str">
        <f>IF(B53="","",IFERROR(INDEX('Risk Register'!$D$6:$D$105,MATCH(B53,'Risk Register'!$A$6:$A$105,0)),""))</f>
        <v/>
      </c>
      <c r="E53" s="37" t="str">
        <f>IF(B53="","",IFERROR(INDEX('Risk Register'!$O$6:$O$105,MATCH(B53,'Risk Register'!$A$6:$A$105,0)),""))</f>
        <v/>
      </c>
      <c r="F53" s="38" t="str">
        <f>IF(B53="","",IFERROR(INDEX('Risk Register'!$U$6:$U$105,MATCH(B53,'Risk Register'!$A$6:$A$105,0)),""))</f>
        <v/>
      </c>
      <c r="G53" s="24"/>
      <c r="H53" s="24"/>
      <c r="I53" s="35"/>
      <c r="J53" s="35"/>
      <c r="K53" s="35"/>
      <c r="L53" s="46"/>
      <c r="M53" s="46"/>
      <c r="N53" s="38" t="str">
        <f>IF(F53="","",IFERROR(INDEX(Methodology!$B$48:$B$50,MATCH(F53,Methodology!$A$48:$A$50,0)),""))</f>
        <v/>
      </c>
      <c r="O53" s="38" t="str">
        <f>IF(OR(I53&lt;&gt;"Approved",F53=""),"",IF(F53="Within appetite","Not in breach",IF(K53="","Authority level not set",IF(IFERROR(MATCH(K53,Methodology!$B$49:$B$50,0),0)&gt;=IFERROR(MATCH(N53,Methodology!$B$49:$B$50,0),99),"OK","Insufficient authority"))))</f>
        <v/>
      </c>
      <c r="P53" s="38" t="str">
        <f>IF(A53="","",IF(I53&lt;&gt;"Approved",IF(I53="","No decision",I53),IF(M53="","Approved - no expiry",IF(M53&lt;Methodology!$B$4,"Expired",IF(M53-Methodology!$B$4&lt;=Methodology!$B$5,"Expiring soon","Active")))))</f>
        <v/>
      </c>
      <c r="Q53" s="37" t="str">
        <f>IF(OR(M53="",I53&lt;&gt;"Approved"),"",M53-Methodology!$B$4)</f>
        <v/>
      </c>
      <c r="R53" s="44" t="str">
        <f>IF(A53="","",IF(AND(I53="Approved",F53="Within appetite"),"Risk now within appetite: acceptance may be unnecessary",IF(AND(I53="Approved",L53&lt;&gt;"",M53&lt;&gt;"",M53-L53&gt;Methodology!$B$6),"Exceeds maximum acceptance period",IF(AND(I53="Approved",J53=""),"Approver not named",""))))</f>
        <v/>
      </c>
      <c r="S53">
        <f>IF(A53="",0,IF(O53&lt;&gt;"Insufficient authority",0,IF(COUNTIFS('Exception Register'!$B$6:$B$45,Checks!$A$11,'Exception Register'!$C$6:$C$45,A53&amp;" ("&amp;B53&amp;")",'Exception Register'!$J$6:$J$45,"Valid")&gt;0,1,0)))</f>
        <v>0</v>
      </c>
      <c r="T53" t="str">
        <f>IF(A53="","",IF(COUNTIF($A$6:$A$105,A53)&gt;1,"Duplicate Acceptance ID",IF(I53&lt;&gt;"Approved","Not approved",IF(OR(B53="",COUNTIF('Risk Register'!$A$6:$A$105,B53)&lt;&gt;1),"Unknown or duplicate Risk ID",IF(OR(G53="",J53=""),"Approval details missing",IF(OR(NOT(ISNUMBER(L53)),NOT(ISNUMBER(M53))),"Decision or expiry date missing/invalid",IF(OR(L53&lt;=0,L53&gt;Methodology!$B$4,M53&lt;L53),"Invalid decision or expiry date",IF(M53&lt;Methodology!$B$4,"Expired",IF(M53-L53&gt;Methodology!$B$6,"Exceeds maximum acceptance period",IF(O53&lt;&gt;"OK","Authority not sufficient","Eligible"))))))))))</f>
        <v/>
      </c>
    </row>
    <row r="54" spans="1:20" x14ac:dyDescent="0.35">
      <c r="A54" s="35"/>
      <c r="B54" s="35"/>
      <c r="C54" s="44" t="str">
        <f>IF(B54="","",IFERROR(INDEX('Risk Register'!$B$6:$B$105,MATCH(B54,'Risk Register'!$A$6:$A$105,0)),"Unknown Risk ID"))</f>
        <v/>
      </c>
      <c r="D54" s="38" t="str">
        <f>IF(B54="","",IFERROR(INDEX('Risk Register'!$D$6:$D$105,MATCH(B54,'Risk Register'!$A$6:$A$105,0)),""))</f>
        <v/>
      </c>
      <c r="E54" s="37" t="str">
        <f>IF(B54="","",IFERROR(INDEX('Risk Register'!$O$6:$O$105,MATCH(B54,'Risk Register'!$A$6:$A$105,0)),""))</f>
        <v/>
      </c>
      <c r="F54" s="38" t="str">
        <f>IF(B54="","",IFERROR(INDEX('Risk Register'!$U$6:$U$105,MATCH(B54,'Risk Register'!$A$6:$A$105,0)),""))</f>
        <v/>
      </c>
      <c r="G54" s="24"/>
      <c r="H54" s="24"/>
      <c r="I54" s="35"/>
      <c r="J54" s="35"/>
      <c r="K54" s="35"/>
      <c r="L54" s="46"/>
      <c r="M54" s="46"/>
      <c r="N54" s="38" t="str">
        <f>IF(F54="","",IFERROR(INDEX(Methodology!$B$48:$B$50,MATCH(F54,Methodology!$A$48:$A$50,0)),""))</f>
        <v/>
      </c>
      <c r="O54" s="38" t="str">
        <f>IF(OR(I54&lt;&gt;"Approved",F54=""),"",IF(F54="Within appetite","Not in breach",IF(K54="","Authority level not set",IF(IFERROR(MATCH(K54,Methodology!$B$49:$B$50,0),0)&gt;=IFERROR(MATCH(N54,Methodology!$B$49:$B$50,0),99),"OK","Insufficient authority"))))</f>
        <v/>
      </c>
      <c r="P54" s="38" t="str">
        <f>IF(A54="","",IF(I54&lt;&gt;"Approved",IF(I54="","No decision",I54),IF(M54="","Approved - no expiry",IF(M54&lt;Methodology!$B$4,"Expired",IF(M54-Methodology!$B$4&lt;=Methodology!$B$5,"Expiring soon","Active")))))</f>
        <v/>
      </c>
      <c r="Q54" s="37" t="str">
        <f>IF(OR(M54="",I54&lt;&gt;"Approved"),"",M54-Methodology!$B$4)</f>
        <v/>
      </c>
      <c r="R54" s="44" t="str">
        <f>IF(A54="","",IF(AND(I54="Approved",F54="Within appetite"),"Risk now within appetite: acceptance may be unnecessary",IF(AND(I54="Approved",L54&lt;&gt;"",M54&lt;&gt;"",M54-L54&gt;Methodology!$B$6),"Exceeds maximum acceptance period",IF(AND(I54="Approved",J54=""),"Approver not named",""))))</f>
        <v/>
      </c>
      <c r="S54">
        <f>IF(A54="",0,IF(O54&lt;&gt;"Insufficient authority",0,IF(COUNTIFS('Exception Register'!$B$6:$B$45,Checks!$A$11,'Exception Register'!$C$6:$C$45,A54&amp;" ("&amp;B54&amp;")",'Exception Register'!$J$6:$J$45,"Valid")&gt;0,1,0)))</f>
        <v>0</v>
      </c>
      <c r="T54" t="str">
        <f>IF(A54="","",IF(COUNTIF($A$6:$A$105,A54)&gt;1,"Duplicate Acceptance ID",IF(I54&lt;&gt;"Approved","Not approved",IF(OR(B54="",COUNTIF('Risk Register'!$A$6:$A$105,B54)&lt;&gt;1),"Unknown or duplicate Risk ID",IF(OR(G54="",J54=""),"Approval details missing",IF(OR(NOT(ISNUMBER(L54)),NOT(ISNUMBER(M54))),"Decision or expiry date missing/invalid",IF(OR(L54&lt;=0,L54&gt;Methodology!$B$4,M54&lt;L54),"Invalid decision or expiry date",IF(M54&lt;Methodology!$B$4,"Expired",IF(M54-L54&gt;Methodology!$B$6,"Exceeds maximum acceptance period",IF(O54&lt;&gt;"OK","Authority not sufficient","Eligible"))))))))))</f>
        <v/>
      </c>
    </row>
    <row r="55" spans="1:20" x14ac:dyDescent="0.35">
      <c r="A55" s="35"/>
      <c r="B55" s="35"/>
      <c r="C55" s="44" t="str">
        <f>IF(B55="","",IFERROR(INDEX('Risk Register'!$B$6:$B$105,MATCH(B55,'Risk Register'!$A$6:$A$105,0)),"Unknown Risk ID"))</f>
        <v/>
      </c>
      <c r="D55" s="38" t="str">
        <f>IF(B55="","",IFERROR(INDEX('Risk Register'!$D$6:$D$105,MATCH(B55,'Risk Register'!$A$6:$A$105,0)),""))</f>
        <v/>
      </c>
      <c r="E55" s="37" t="str">
        <f>IF(B55="","",IFERROR(INDEX('Risk Register'!$O$6:$O$105,MATCH(B55,'Risk Register'!$A$6:$A$105,0)),""))</f>
        <v/>
      </c>
      <c r="F55" s="38" t="str">
        <f>IF(B55="","",IFERROR(INDEX('Risk Register'!$U$6:$U$105,MATCH(B55,'Risk Register'!$A$6:$A$105,0)),""))</f>
        <v/>
      </c>
      <c r="G55" s="24"/>
      <c r="H55" s="24"/>
      <c r="I55" s="35"/>
      <c r="J55" s="35"/>
      <c r="K55" s="35"/>
      <c r="L55" s="46"/>
      <c r="M55" s="46"/>
      <c r="N55" s="38" t="str">
        <f>IF(F55="","",IFERROR(INDEX(Methodology!$B$48:$B$50,MATCH(F55,Methodology!$A$48:$A$50,0)),""))</f>
        <v/>
      </c>
      <c r="O55" s="38" t="str">
        <f>IF(OR(I55&lt;&gt;"Approved",F55=""),"",IF(F55="Within appetite","Not in breach",IF(K55="","Authority level not set",IF(IFERROR(MATCH(K55,Methodology!$B$49:$B$50,0),0)&gt;=IFERROR(MATCH(N55,Methodology!$B$49:$B$50,0),99),"OK","Insufficient authority"))))</f>
        <v/>
      </c>
      <c r="P55" s="38" t="str">
        <f>IF(A55="","",IF(I55&lt;&gt;"Approved",IF(I55="","No decision",I55),IF(M55="","Approved - no expiry",IF(M55&lt;Methodology!$B$4,"Expired",IF(M55-Methodology!$B$4&lt;=Methodology!$B$5,"Expiring soon","Active")))))</f>
        <v/>
      </c>
      <c r="Q55" s="37" t="str">
        <f>IF(OR(M55="",I55&lt;&gt;"Approved"),"",M55-Methodology!$B$4)</f>
        <v/>
      </c>
      <c r="R55" s="44" t="str">
        <f>IF(A55="","",IF(AND(I55="Approved",F55="Within appetite"),"Risk now within appetite: acceptance may be unnecessary",IF(AND(I55="Approved",L55&lt;&gt;"",M55&lt;&gt;"",M55-L55&gt;Methodology!$B$6),"Exceeds maximum acceptance period",IF(AND(I55="Approved",J55=""),"Approver not named",""))))</f>
        <v/>
      </c>
      <c r="S55">
        <f>IF(A55="",0,IF(O55&lt;&gt;"Insufficient authority",0,IF(COUNTIFS('Exception Register'!$B$6:$B$45,Checks!$A$11,'Exception Register'!$C$6:$C$45,A55&amp;" ("&amp;B55&amp;")",'Exception Register'!$J$6:$J$45,"Valid")&gt;0,1,0)))</f>
        <v>0</v>
      </c>
      <c r="T55" t="str">
        <f>IF(A55="","",IF(COUNTIF($A$6:$A$105,A55)&gt;1,"Duplicate Acceptance ID",IF(I55&lt;&gt;"Approved","Not approved",IF(OR(B55="",COUNTIF('Risk Register'!$A$6:$A$105,B55)&lt;&gt;1),"Unknown or duplicate Risk ID",IF(OR(G55="",J55=""),"Approval details missing",IF(OR(NOT(ISNUMBER(L55)),NOT(ISNUMBER(M55))),"Decision or expiry date missing/invalid",IF(OR(L55&lt;=0,L55&gt;Methodology!$B$4,M55&lt;L55),"Invalid decision or expiry date",IF(M55&lt;Methodology!$B$4,"Expired",IF(M55-L55&gt;Methodology!$B$6,"Exceeds maximum acceptance period",IF(O55&lt;&gt;"OK","Authority not sufficient","Eligible"))))))))))</f>
        <v/>
      </c>
    </row>
    <row r="56" spans="1:20" x14ac:dyDescent="0.35">
      <c r="A56" s="35"/>
      <c r="B56" s="35"/>
      <c r="C56" s="44" t="str">
        <f>IF(B56="","",IFERROR(INDEX('Risk Register'!$B$6:$B$105,MATCH(B56,'Risk Register'!$A$6:$A$105,0)),"Unknown Risk ID"))</f>
        <v/>
      </c>
      <c r="D56" s="38" t="str">
        <f>IF(B56="","",IFERROR(INDEX('Risk Register'!$D$6:$D$105,MATCH(B56,'Risk Register'!$A$6:$A$105,0)),""))</f>
        <v/>
      </c>
      <c r="E56" s="37" t="str">
        <f>IF(B56="","",IFERROR(INDEX('Risk Register'!$O$6:$O$105,MATCH(B56,'Risk Register'!$A$6:$A$105,0)),""))</f>
        <v/>
      </c>
      <c r="F56" s="38" t="str">
        <f>IF(B56="","",IFERROR(INDEX('Risk Register'!$U$6:$U$105,MATCH(B56,'Risk Register'!$A$6:$A$105,0)),""))</f>
        <v/>
      </c>
      <c r="G56" s="24"/>
      <c r="H56" s="24"/>
      <c r="I56" s="35"/>
      <c r="J56" s="35"/>
      <c r="K56" s="35"/>
      <c r="L56" s="46"/>
      <c r="M56" s="46"/>
      <c r="N56" s="38" t="str">
        <f>IF(F56="","",IFERROR(INDEX(Methodology!$B$48:$B$50,MATCH(F56,Methodology!$A$48:$A$50,0)),""))</f>
        <v/>
      </c>
      <c r="O56" s="38" t="str">
        <f>IF(OR(I56&lt;&gt;"Approved",F56=""),"",IF(F56="Within appetite","Not in breach",IF(K56="","Authority level not set",IF(IFERROR(MATCH(K56,Methodology!$B$49:$B$50,0),0)&gt;=IFERROR(MATCH(N56,Methodology!$B$49:$B$50,0),99),"OK","Insufficient authority"))))</f>
        <v/>
      </c>
      <c r="P56" s="38" t="str">
        <f>IF(A56="","",IF(I56&lt;&gt;"Approved",IF(I56="","No decision",I56),IF(M56="","Approved - no expiry",IF(M56&lt;Methodology!$B$4,"Expired",IF(M56-Methodology!$B$4&lt;=Methodology!$B$5,"Expiring soon","Active")))))</f>
        <v/>
      </c>
      <c r="Q56" s="37" t="str">
        <f>IF(OR(M56="",I56&lt;&gt;"Approved"),"",M56-Methodology!$B$4)</f>
        <v/>
      </c>
      <c r="R56" s="44" t="str">
        <f>IF(A56="","",IF(AND(I56="Approved",F56="Within appetite"),"Risk now within appetite: acceptance may be unnecessary",IF(AND(I56="Approved",L56&lt;&gt;"",M56&lt;&gt;"",M56-L56&gt;Methodology!$B$6),"Exceeds maximum acceptance period",IF(AND(I56="Approved",J56=""),"Approver not named",""))))</f>
        <v/>
      </c>
      <c r="S56">
        <f>IF(A56="",0,IF(O56&lt;&gt;"Insufficient authority",0,IF(COUNTIFS('Exception Register'!$B$6:$B$45,Checks!$A$11,'Exception Register'!$C$6:$C$45,A56&amp;" ("&amp;B56&amp;")",'Exception Register'!$J$6:$J$45,"Valid")&gt;0,1,0)))</f>
        <v>0</v>
      </c>
      <c r="T56" t="str">
        <f>IF(A56="","",IF(COUNTIF($A$6:$A$105,A56)&gt;1,"Duplicate Acceptance ID",IF(I56&lt;&gt;"Approved","Not approved",IF(OR(B56="",COUNTIF('Risk Register'!$A$6:$A$105,B56)&lt;&gt;1),"Unknown or duplicate Risk ID",IF(OR(G56="",J56=""),"Approval details missing",IF(OR(NOT(ISNUMBER(L56)),NOT(ISNUMBER(M56))),"Decision or expiry date missing/invalid",IF(OR(L56&lt;=0,L56&gt;Methodology!$B$4,M56&lt;L56),"Invalid decision or expiry date",IF(M56&lt;Methodology!$B$4,"Expired",IF(M56-L56&gt;Methodology!$B$6,"Exceeds maximum acceptance period",IF(O56&lt;&gt;"OK","Authority not sufficient","Eligible"))))))))))</f>
        <v/>
      </c>
    </row>
    <row r="57" spans="1:20" x14ac:dyDescent="0.35">
      <c r="A57" s="35"/>
      <c r="B57" s="35"/>
      <c r="C57" s="44" t="str">
        <f>IF(B57="","",IFERROR(INDEX('Risk Register'!$B$6:$B$105,MATCH(B57,'Risk Register'!$A$6:$A$105,0)),"Unknown Risk ID"))</f>
        <v/>
      </c>
      <c r="D57" s="38" t="str">
        <f>IF(B57="","",IFERROR(INDEX('Risk Register'!$D$6:$D$105,MATCH(B57,'Risk Register'!$A$6:$A$105,0)),""))</f>
        <v/>
      </c>
      <c r="E57" s="37" t="str">
        <f>IF(B57="","",IFERROR(INDEX('Risk Register'!$O$6:$O$105,MATCH(B57,'Risk Register'!$A$6:$A$105,0)),""))</f>
        <v/>
      </c>
      <c r="F57" s="38" t="str">
        <f>IF(B57="","",IFERROR(INDEX('Risk Register'!$U$6:$U$105,MATCH(B57,'Risk Register'!$A$6:$A$105,0)),""))</f>
        <v/>
      </c>
      <c r="G57" s="24"/>
      <c r="H57" s="24"/>
      <c r="I57" s="35"/>
      <c r="J57" s="35"/>
      <c r="K57" s="35"/>
      <c r="L57" s="46"/>
      <c r="M57" s="46"/>
      <c r="N57" s="38" t="str">
        <f>IF(F57="","",IFERROR(INDEX(Methodology!$B$48:$B$50,MATCH(F57,Methodology!$A$48:$A$50,0)),""))</f>
        <v/>
      </c>
      <c r="O57" s="38" t="str">
        <f>IF(OR(I57&lt;&gt;"Approved",F57=""),"",IF(F57="Within appetite","Not in breach",IF(K57="","Authority level not set",IF(IFERROR(MATCH(K57,Methodology!$B$49:$B$50,0),0)&gt;=IFERROR(MATCH(N57,Methodology!$B$49:$B$50,0),99),"OK","Insufficient authority"))))</f>
        <v/>
      </c>
      <c r="P57" s="38" t="str">
        <f>IF(A57="","",IF(I57&lt;&gt;"Approved",IF(I57="","No decision",I57),IF(M57="","Approved - no expiry",IF(M57&lt;Methodology!$B$4,"Expired",IF(M57-Methodology!$B$4&lt;=Methodology!$B$5,"Expiring soon","Active")))))</f>
        <v/>
      </c>
      <c r="Q57" s="37" t="str">
        <f>IF(OR(M57="",I57&lt;&gt;"Approved"),"",M57-Methodology!$B$4)</f>
        <v/>
      </c>
      <c r="R57" s="44" t="str">
        <f>IF(A57="","",IF(AND(I57="Approved",F57="Within appetite"),"Risk now within appetite: acceptance may be unnecessary",IF(AND(I57="Approved",L57&lt;&gt;"",M57&lt;&gt;"",M57-L57&gt;Methodology!$B$6),"Exceeds maximum acceptance period",IF(AND(I57="Approved",J57=""),"Approver not named",""))))</f>
        <v/>
      </c>
      <c r="S57">
        <f>IF(A57="",0,IF(O57&lt;&gt;"Insufficient authority",0,IF(COUNTIFS('Exception Register'!$B$6:$B$45,Checks!$A$11,'Exception Register'!$C$6:$C$45,A57&amp;" ("&amp;B57&amp;")",'Exception Register'!$J$6:$J$45,"Valid")&gt;0,1,0)))</f>
        <v>0</v>
      </c>
      <c r="T57" t="str">
        <f>IF(A57="","",IF(COUNTIF($A$6:$A$105,A57)&gt;1,"Duplicate Acceptance ID",IF(I57&lt;&gt;"Approved","Not approved",IF(OR(B57="",COUNTIF('Risk Register'!$A$6:$A$105,B57)&lt;&gt;1),"Unknown or duplicate Risk ID",IF(OR(G57="",J57=""),"Approval details missing",IF(OR(NOT(ISNUMBER(L57)),NOT(ISNUMBER(M57))),"Decision or expiry date missing/invalid",IF(OR(L57&lt;=0,L57&gt;Methodology!$B$4,M57&lt;L57),"Invalid decision or expiry date",IF(M57&lt;Methodology!$B$4,"Expired",IF(M57-L57&gt;Methodology!$B$6,"Exceeds maximum acceptance period",IF(O57&lt;&gt;"OK","Authority not sufficient","Eligible"))))))))))</f>
        <v/>
      </c>
    </row>
    <row r="58" spans="1:20" x14ac:dyDescent="0.35">
      <c r="A58" s="35"/>
      <c r="B58" s="35"/>
      <c r="C58" s="44" t="str">
        <f>IF(B58="","",IFERROR(INDEX('Risk Register'!$B$6:$B$105,MATCH(B58,'Risk Register'!$A$6:$A$105,0)),"Unknown Risk ID"))</f>
        <v/>
      </c>
      <c r="D58" s="38" t="str">
        <f>IF(B58="","",IFERROR(INDEX('Risk Register'!$D$6:$D$105,MATCH(B58,'Risk Register'!$A$6:$A$105,0)),""))</f>
        <v/>
      </c>
      <c r="E58" s="37" t="str">
        <f>IF(B58="","",IFERROR(INDEX('Risk Register'!$O$6:$O$105,MATCH(B58,'Risk Register'!$A$6:$A$105,0)),""))</f>
        <v/>
      </c>
      <c r="F58" s="38" t="str">
        <f>IF(B58="","",IFERROR(INDEX('Risk Register'!$U$6:$U$105,MATCH(B58,'Risk Register'!$A$6:$A$105,0)),""))</f>
        <v/>
      </c>
      <c r="G58" s="24"/>
      <c r="H58" s="24"/>
      <c r="I58" s="35"/>
      <c r="J58" s="35"/>
      <c r="K58" s="35"/>
      <c r="L58" s="46"/>
      <c r="M58" s="46"/>
      <c r="N58" s="38" t="str">
        <f>IF(F58="","",IFERROR(INDEX(Methodology!$B$48:$B$50,MATCH(F58,Methodology!$A$48:$A$50,0)),""))</f>
        <v/>
      </c>
      <c r="O58" s="38" t="str">
        <f>IF(OR(I58&lt;&gt;"Approved",F58=""),"",IF(F58="Within appetite","Not in breach",IF(K58="","Authority level not set",IF(IFERROR(MATCH(K58,Methodology!$B$49:$B$50,0),0)&gt;=IFERROR(MATCH(N58,Methodology!$B$49:$B$50,0),99),"OK","Insufficient authority"))))</f>
        <v/>
      </c>
      <c r="P58" s="38" t="str">
        <f>IF(A58="","",IF(I58&lt;&gt;"Approved",IF(I58="","No decision",I58),IF(M58="","Approved - no expiry",IF(M58&lt;Methodology!$B$4,"Expired",IF(M58-Methodology!$B$4&lt;=Methodology!$B$5,"Expiring soon","Active")))))</f>
        <v/>
      </c>
      <c r="Q58" s="37" t="str">
        <f>IF(OR(M58="",I58&lt;&gt;"Approved"),"",M58-Methodology!$B$4)</f>
        <v/>
      </c>
      <c r="R58" s="44" t="str">
        <f>IF(A58="","",IF(AND(I58="Approved",F58="Within appetite"),"Risk now within appetite: acceptance may be unnecessary",IF(AND(I58="Approved",L58&lt;&gt;"",M58&lt;&gt;"",M58-L58&gt;Methodology!$B$6),"Exceeds maximum acceptance period",IF(AND(I58="Approved",J58=""),"Approver not named",""))))</f>
        <v/>
      </c>
      <c r="S58">
        <f>IF(A58="",0,IF(O58&lt;&gt;"Insufficient authority",0,IF(COUNTIFS('Exception Register'!$B$6:$B$45,Checks!$A$11,'Exception Register'!$C$6:$C$45,A58&amp;" ("&amp;B58&amp;")",'Exception Register'!$J$6:$J$45,"Valid")&gt;0,1,0)))</f>
        <v>0</v>
      </c>
      <c r="T58" t="str">
        <f>IF(A58="","",IF(COUNTIF($A$6:$A$105,A58)&gt;1,"Duplicate Acceptance ID",IF(I58&lt;&gt;"Approved","Not approved",IF(OR(B58="",COUNTIF('Risk Register'!$A$6:$A$105,B58)&lt;&gt;1),"Unknown or duplicate Risk ID",IF(OR(G58="",J58=""),"Approval details missing",IF(OR(NOT(ISNUMBER(L58)),NOT(ISNUMBER(M58))),"Decision or expiry date missing/invalid",IF(OR(L58&lt;=0,L58&gt;Methodology!$B$4,M58&lt;L58),"Invalid decision or expiry date",IF(M58&lt;Methodology!$B$4,"Expired",IF(M58-L58&gt;Methodology!$B$6,"Exceeds maximum acceptance period",IF(O58&lt;&gt;"OK","Authority not sufficient","Eligible"))))))))))</f>
        <v/>
      </c>
    </row>
    <row r="59" spans="1:20" x14ac:dyDescent="0.35">
      <c r="A59" s="35"/>
      <c r="B59" s="35"/>
      <c r="C59" s="44" t="str">
        <f>IF(B59="","",IFERROR(INDEX('Risk Register'!$B$6:$B$105,MATCH(B59,'Risk Register'!$A$6:$A$105,0)),"Unknown Risk ID"))</f>
        <v/>
      </c>
      <c r="D59" s="38" t="str">
        <f>IF(B59="","",IFERROR(INDEX('Risk Register'!$D$6:$D$105,MATCH(B59,'Risk Register'!$A$6:$A$105,0)),""))</f>
        <v/>
      </c>
      <c r="E59" s="37" t="str">
        <f>IF(B59="","",IFERROR(INDEX('Risk Register'!$O$6:$O$105,MATCH(B59,'Risk Register'!$A$6:$A$105,0)),""))</f>
        <v/>
      </c>
      <c r="F59" s="38" t="str">
        <f>IF(B59="","",IFERROR(INDEX('Risk Register'!$U$6:$U$105,MATCH(B59,'Risk Register'!$A$6:$A$105,0)),""))</f>
        <v/>
      </c>
      <c r="G59" s="24"/>
      <c r="H59" s="24"/>
      <c r="I59" s="35"/>
      <c r="J59" s="35"/>
      <c r="K59" s="35"/>
      <c r="L59" s="46"/>
      <c r="M59" s="46"/>
      <c r="N59" s="38" t="str">
        <f>IF(F59="","",IFERROR(INDEX(Methodology!$B$48:$B$50,MATCH(F59,Methodology!$A$48:$A$50,0)),""))</f>
        <v/>
      </c>
      <c r="O59" s="38" t="str">
        <f>IF(OR(I59&lt;&gt;"Approved",F59=""),"",IF(F59="Within appetite","Not in breach",IF(K59="","Authority level not set",IF(IFERROR(MATCH(K59,Methodology!$B$49:$B$50,0),0)&gt;=IFERROR(MATCH(N59,Methodology!$B$49:$B$50,0),99),"OK","Insufficient authority"))))</f>
        <v/>
      </c>
      <c r="P59" s="38" t="str">
        <f>IF(A59="","",IF(I59&lt;&gt;"Approved",IF(I59="","No decision",I59),IF(M59="","Approved - no expiry",IF(M59&lt;Methodology!$B$4,"Expired",IF(M59-Methodology!$B$4&lt;=Methodology!$B$5,"Expiring soon","Active")))))</f>
        <v/>
      </c>
      <c r="Q59" s="37" t="str">
        <f>IF(OR(M59="",I59&lt;&gt;"Approved"),"",M59-Methodology!$B$4)</f>
        <v/>
      </c>
      <c r="R59" s="44" t="str">
        <f>IF(A59="","",IF(AND(I59="Approved",F59="Within appetite"),"Risk now within appetite: acceptance may be unnecessary",IF(AND(I59="Approved",L59&lt;&gt;"",M59&lt;&gt;"",M59-L59&gt;Methodology!$B$6),"Exceeds maximum acceptance period",IF(AND(I59="Approved",J59=""),"Approver not named",""))))</f>
        <v/>
      </c>
      <c r="S59">
        <f>IF(A59="",0,IF(O59&lt;&gt;"Insufficient authority",0,IF(COUNTIFS('Exception Register'!$B$6:$B$45,Checks!$A$11,'Exception Register'!$C$6:$C$45,A59&amp;" ("&amp;B59&amp;")",'Exception Register'!$J$6:$J$45,"Valid")&gt;0,1,0)))</f>
        <v>0</v>
      </c>
      <c r="T59" t="str">
        <f>IF(A59="","",IF(COUNTIF($A$6:$A$105,A59)&gt;1,"Duplicate Acceptance ID",IF(I59&lt;&gt;"Approved","Not approved",IF(OR(B59="",COUNTIF('Risk Register'!$A$6:$A$105,B59)&lt;&gt;1),"Unknown or duplicate Risk ID",IF(OR(G59="",J59=""),"Approval details missing",IF(OR(NOT(ISNUMBER(L59)),NOT(ISNUMBER(M59))),"Decision or expiry date missing/invalid",IF(OR(L59&lt;=0,L59&gt;Methodology!$B$4,M59&lt;L59),"Invalid decision or expiry date",IF(M59&lt;Methodology!$B$4,"Expired",IF(M59-L59&gt;Methodology!$B$6,"Exceeds maximum acceptance period",IF(O59&lt;&gt;"OK","Authority not sufficient","Eligible"))))))))))</f>
        <v/>
      </c>
    </row>
    <row r="60" spans="1:20" x14ac:dyDescent="0.35">
      <c r="A60" s="35"/>
      <c r="B60" s="35"/>
      <c r="C60" s="44" t="str">
        <f>IF(B60="","",IFERROR(INDEX('Risk Register'!$B$6:$B$105,MATCH(B60,'Risk Register'!$A$6:$A$105,0)),"Unknown Risk ID"))</f>
        <v/>
      </c>
      <c r="D60" s="38" t="str">
        <f>IF(B60="","",IFERROR(INDEX('Risk Register'!$D$6:$D$105,MATCH(B60,'Risk Register'!$A$6:$A$105,0)),""))</f>
        <v/>
      </c>
      <c r="E60" s="37" t="str">
        <f>IF(B60="","",IFERROR(INDEX('Risk Register'!$O$6:$O$105,MATCH(B60,'Risk Register'!$A$6:$A$105,0)),""))</f>
        <v/>
      </c>
      <c r="F60" s="38" t="str">
        <f>IF(B60="","",IFERROR(INDEX('Risk Register'!$U$6:$U$105,MATCH(B60,'Risk Register'!$A$6:$A$105,0)),""))</f>
        <v/>
      </c>
      <c r="G60" s="24"/>
      <c r="H60" s="24"/>
      <c r="I60" s="35"/>
      <c r="J60" s="35"/>
      <c r="K60" s="35"/>
      <c r="L60" s="46"/>
      <c r="M60" s="46"/>
      <c r="N60" s="38" t="str">
        <f>IF(F60="","",IFERROR(INDEX(Methodology!$B$48:$B$50,MATCH(F60,Methodology!$A$48:$A$50,0)),""))</f>
        <v/>
      </c>
      <c r="O60" s="38" t="str">
        <f>IF(OR(I60&lt;&gt;"Approved",F60=""),"",IF(F60="Within appetite","Not in breach",IF(K60="","Authority level not set",IF(IFERROR(MATCH(K60,Methodology!$B$49:$B$50,0),0)&gt;=IFERROR(MATCH(N60,Methodology!$B$49:$B$50,0),99),"OK","Insufficient authority"))))</f>
        <v/>
      </c>
      <c r="P60" s="38" t="str">
        <f>IF(A60="","",IF(I60&lt;&gt;"Approved",IF(I60="","No decision",I60),IF(M60="","Approved - no expiry",IF(M60&lt;Methodology!$B$4,"Expired",IF(M60-Methodology!$B$4&lt;=Methodology!$B$5,"Expiring soon","Active")))))</f>
        <v/>
      </c>
      <c r="Q60" s="37" t="str">
        <f>IF(OR(M60="",I60&lt;&gt;"Approved"),"",M60-Methodology!$B$4)</f>
        <v/>
      </c>
      <c r="R60" s="44" t="str">
        <f>IF(A60="","",IF(AND(I60="Approved",F60="Within appetite"),"Risk now within appetite: acceptance may be unnecessary",IF(AND(I60="Approved",L60&lt;&gt;"",M60&lt;&gt;"",M60-L60&gt;Methodology!$B$6),"Exceeds maximum acceptance period",IF(AND(I60="Approved",J60=""),"Approver not named",""))))</f>
        <v/>
      </c>
      <c r="S60">
        <f>IF(A60="",0,IF(O60&lt;&gt;"Insufficient authority",0,IF(COUNTIFS('Exception Register'!$B$6:$B$45,Checks!$A$11,'Exception Register'!$C$6:$C$45,A60&amp;" ("&amp;B60&amp;")",'Exception Register'!$J$6:$J$45,"Valid")&gt;0,1,0)))</f>
        <v>0</v>
      </c>
      <c r="T60" t="str">
        <f>IF(A60="","",IF(COUNTIF($A$6:$A$105,A60)&gt;1,"Duplicate Acceptance ID",IF(I60&lt;&gt;"Approved","Not approved",IF(OR(B60="",COUNTIF('Risk Register'!$A$6:$A$105,B60)&lt;&gt;1),"Unknown or duplicate Risk ID",IF(OR(G60="",J60=""),"Approval details missing",IF(OR(NOT(ISNUMBER(L60)),NOT(ISNUMBER(M60))),"Decision or expiry date missing/invalid",IF(OR(L60&lt;=0,L60&gt;Methodology!$B$4,M60&lt;L60),"Invalid decision or expiry date",IF(M60&lt;Methodology!$B$4,"Expired",IF(M60-L60&gt;Methodology!$B$6,"Exceeds maximum acceptance period",IF(O60&lt;&gt;"OK","Authority not sufficient","Eligible"))))))))))</f>
        <v/>
      </c>
    </row>
    <row r="61" spans="1:20" x14ac:dyDescent="0.35">
      <c r="A61" s="35"/>
      <c r="B61" s="35"/>
      <c r="C61" s="44" t="str">
        <f>IF(B61="","",IFERROR(INDEX('Risk Register'!$B$6:$B$105,MATCH(B61,'Risk Register'!$A$6:$A$105,0)),"Unknown Risk ID"))</f>
        <v/>
      </c>
      <c r="D61" s="38" t="str">
        <f>IF(B61="","",IFERROR(INDEX('Risk Register'!$D$6:$D$105,MATCH(B61,'Risk Register'!$A$6:$A$105,0)),""))</f>
        <v/>
      </c>
      <c r="E61" s="37" t="str">
        <f>IF(B61="","",IFERROR(INDEX('Risk Register'!$O$6:$O$105,MATCH(B61,'Risk Register'!$A$6:$A$105,0)),""))</f>
        <v/>
      </c>
      <c r="F61" s="38" t="str">
        <f>IF(B61="","",IFERROR(INDEX('Risk Register'!$U$6:$U$105,MATCH(B61,'Risk Register'!$A$6:$A$105,0)),""))</f>
        <v/>
      </c>
      <c r="G61" s="24"/>
      <c r="H61" s="24"/>
      <c r="I61" s="35"/>
      <c r="J61" s="35"/>
      <c r="K61" s="35"/>
      <c r="L61" s="46"/>
      <c r="M61" s="46"/>
      <c r="N61" s="38" t="str">
        <f>IF(F61="","",IFERROR(INDEX(Methodology!$B$48:$B$50,MATCH(F61,Methodology!$A$48:$A$50,0)),""))</f>
        <v/>
      </c>
      <c r="O61" s="38" t="str">
        <f>IF(OR(I61&lt;&gt;"Approved",F61=""),"",IF(F61="Within appetite","Not in breach",IF(K61="","Authority level not set",IF(IFERROR(MATCH(K61,Methodology!$B$49:$B$50,0),0)&gt;=IFERROR(MATCH(N61,Methodology!$B$49:$B$50,0),99),"OK","Insufficient authority"))))</f>
        <v/>
      </c>
      <c r="P61" s="38" t="str">
        <f>IF(A61="","",IF(I61&lt;&gt;"Approved",IF(I61="","No decision",I61),IF(M61="","Approved - no expiry",IF(M61&lt;Methodology!$B$4,"Expired",IF(M61-Methodology!$B$4&lt;=Methodology!$B$5,"Expiring soon","Active")))))</f>
        <v/>
      </c>
      <c r="Q61" s="37" t="str">
        <f>IF(OR(M61="",I61&lt;&gt;"Approved"),"",M61-Methodology!$B$4)</f>
        <v/>
      </c>
      <c r="R61" s="44" t="str">
        <f>IF(A61="","",IF(AND(I61="Approved",F61="Within appetite"),"Risk now within appetite: acceptance may be unnecessary",IF(AND(I61="Approved",L61&lt;&gt;"",M61&lt;&gt;"",M61-L61&gt;Methodology!$B$6),"Exceeds maximum acceptance period",IF(AND(I61="Approved",J61=""),"Approver not named",""))))</f>
        <v/>
      </c>
      <c r="S61">
        <f>IF(A61="",0,IF(O61&lt;&gt;"Insufficient authority",0,IF(COUNTIFS('Exception Register'!$B$6:$B$45,Checks!$A$11,'Exception Register'!$C$6:$C$45,A61&amp;" ("&amp;B61&amp;")",'Exception Register'!$J$6:$J$45,"Valid")&gt;0,1,0)))</f>
        <v>0</v>
      </c>
      <c r="T61" t="str">
        <f>IF(A61="","",IF(COUNTIF($A$6:$A$105,A61)&gt;1,"Duplicate Acceptance ID",IF(I61&lt;&gt;"Approved","Not approved",IF(OR(B61="",COUNTIF('Risk Register'!$A$6:$A$105,B61)&lt;&gt;1),"Unknown or duplicate Risk ID",IF(OR(G61="",J61=""),"Approval details missing",IF(OR(NOT(ISNUMBER(L61)),NOT(ISNUMBER(M61))),"Decision or expiry date missing/invalid",IF(OR(L61&lt;=0,L61&gt;Methodology!$B$4,M61&lt;L61),"Invalid decision or expiry date",IF(M61&lt;Methodology!$B$4,"Expired",IF(M61-L61&gt;Methodology!$B$6,"Exceeds maximum acceptance period",IF(O61&lt;&gt;"OK","Authority not sufficient","Eligible"))))))))))</f>
        <v/>
      </c>
    </row>
    <row r="62" spans="1:20" x14ac:dyDescent="0.35">
      <c r="A62" s="35"/>
      <c r="B62" s="35"/>
      <c r="C62" s="44" t="str">
        <f>IF(B62="","",IFERROR(INDEX('Risk Register'!$B$6:$B$105,MATCH(B62,'Risk Register'!$A$6:$A$105,0)),"Unknown Risk ID"))</f>
        <v/>
      </c>
      <c r="D62" s="38" t="str">
        <f>IF(B62="","",IFERROR(INDEX('Risk Register'!$D$6:$D$105,MATCH(B62,'Risk Register'!$A$6:$A$105,0)),""))</f>
        <v/>
      </c>
      <c r="E62" s="37" t="str">
        <f>IF(B62="","",IFERROR(INDEX('Risk Register'!$O$6:$O$105,MATCH(B62,'Risk Register'!$A$6:$A$105,0)),""))</f>
        <v/>
      </c>
      <c r="F62" s="38" t="str">
        <f>IF(B62="","",IFERROR(INDEX('Risk Register'!$U$6:$U$105,MATCH(B62,'Risk Register'!$A$6:$A$105,0)),""))</f>
        <v/>
      </c>
      <c r="G62" s="24"/>
      <c r="H62" s="24"/>
      <c r="I62" s="35"/>
      <c r="J62" s="35"/>
      <c r="K62" s="35"/>
      <c r="L62" s="46"/>
      <c r="M62" s="46"/>
      <c r="N62" s="38" t="str">
        <f>IF(F62="","",IFERROR(INDEX(Methodology!$B$48:$B$50,MATCH(F62,Methodology!$A$48:$A$50,0)),""))</f>
        <v/>
      </c>
      <c r="O62" s="38" t="str">
        <f>IF(OR(I62&lt;&gt;"Approved",F62=""),"",IF(F62="Within appetite","Not in breach",IF(K62="","Authority level not set",IF(IFERROR(MATCH(K62,Methodology!$B$49:$B$50,0),0)&gt;=IFERROR(MATCH(N62,Methodology!$B$49:$B$50,0),99),"OK","Insufficient authority"))))</f>
        <v/>
      </c>
      <c r="P62" s="38" t="str">
        <f>IF(A62="","",IF(I62&lt;&gt;"Approved",IF(I62="","No decision",I62),IF(M62="","Approved - no expiry",IF(M62&lt;Methodology!$B$4,"Expired",IF(M62-Methodology!$B$4&lt;=Methodology!$B$5,"Expiring soon","Active")))))</f>
        <v/>
      </c>
      <c r="Q62" s="37" t="str">
        <f>IF(OR(M62="",I62&lt;&gt;"Approved"),"",M62-Methodology!$B$4)</f>
        <v/>
      </c>
      <c r="R62" s="44" t="str">
        <f>IF(A62="","",IF(AND(I62="Approved",F62="Within appetite"),"Risk now within appetite: acceptance may be unnecessary",IF(AND(I62="Approved",L62&lt;&gt;"",M62&lt;&gt;"",M62-L62&gt;Methodology!$B$6),"Exceeds maximum acceptance period",IF(AND(I62="Approved",J62=""),"Approver not named",""))))</f>
        <v/>
      </c>
      <c r="S62">
        <f>IF(A62="",0,IF(O62&lt;&gt;"Insufficient authority",0,IF(COUNTIFS('Exception Register'!$B$6:$B$45,Checks!$A$11,'Exception Register'!$C$6:$C$45,A62&amp;" ("&amp;B62&amp;")",'Exception Register'!$J$6:$J$45,"Valid")&gt;0,1,0)))</f>
        <v>0</v>
      </c>
      <c r="T62" t="str">
        <f>IF(A62="","",IF(COUNTIF($A$6:$A$105,A62)&gt;1,"Duplicate Acceptance ID",IF(I62&lt;&gt;"Approved","Not approved",IF(OR(B62="",COUNTIF('Risk Register'!$A$6:$A$105,B62)&lt;&gt;1),"Unknown or duplicate Risk ID",IF(OR(G62="",J62=""),"Approval details missing",IF(OR(NOT(ISNUMBER(L62)),NOT(ISNUMBER(M62))),"Decision or expiry date missing/invalid",IF(OR(L62&lt;=0,L62&gt;Methodology!$B$4,M62&lt;L62),"Invalid decision or expiry date",IF(M62&lt;Methodology!$B$4,"Expired",IF(M62-L62&gt;Methodology!$B$6,"Exceeds maximum acceptance period",IF(O62&lt;&gt;"OK","Authority not sufficient","Eligible"))))))))))</f>
        <v/>
      </c>
    </row>
    <row r="63" spans="1:20" x14ac:dyDescent="0.35">
      <c r="A63" s="35"/>
      <c r="B63" s="35"/>
      <c r="C63" s="44" t="str">
        <f>IF(B63="","",IFERROR(INDEX('Risk Register'!$B$6:$B$105,MATCH(B63,'Risk Register'!$A$6:$A$105,0)),"Unknown Risk ID"))</f>
        <v/>
      </c>
      <c r="D63" s="38" t="str">
        <f>IF(B63="","",IFERROR(INDEX('Risk Register'!$D$6:$D$105,MATCH(B63,'Risk Register'!$A$6:$A$105,0)),""))</f>
        <v/>
      </c>
      <c r="E63" s="37" t="str">
        <f>IF(B63="","",IFERROR(INDEX('Risk Register'!$O$6:$O$105,MATCH(B63,'Risk Register'!$A$6:$A$105,0)),""))</f>
        <v/>
      </c>
      <c r="F63" s="38" t="str">
        <f>IF(B63="","",IFERROR(INDEX('Risk Register'!$U$6:$U$105,MATCH(B63,'Risk Register'!$A$6:$A$105,0)),""))</f>
        <v/>
      </c>
      <c r="G63" s="24"/>
      <c r="H63" s="24"/>
      <c r="I63" s="35"/>
      <c r="J63" s="35"/>
      <c r="K63" s="35"/>
      <c r="L63" s="46"/>
      <c r="M63" s="46"/>
      <c r="N63" s="38" t="str">
        <f>IF(F63="","",IFERROR(INDEX(Methodology!$B$48:$B$50,MATCH(F63,Methodology!$A$48:$A$50,0)),""))</f>
        <v/>
      </c>
      <c r="O63" s="38" t="str">
        <f>IF(OR(I63&lt;&gt;"Approved",F63=""),"",IF(F63="Within appetite","Not in breach",IF(K63="","Authority level not set",IF(IFERROR(MATCH(K63,Methodology!$B$49:$B$50,0),0)&gt;=IFERROR(MATCH(N63,Methodology!$B$49:$B$50,0),99),"OK","Insufficient authority"))))</f>
        <v/>
      </c>
      <c r="P63" s="38" t="str">
        <f>IF(A63="","",IF(I63&lt;&gt;"Approved",IF(I63="","No decision",I63),IF(M63="","Approved - no expiry",IF(M63&lt;Methodology!$B$4,"Expired",IF(M63-Methodology!$B$4&lt;=Methodology!$B$5,"Expiring soon","Active")))))</f>
        <v/>
      </c>
      <c r="Q63" s="37" t="str">
        <f>IF(OR(M63="",I63&lt;&gt;"Approved"),"",M63-Methodology!$B$4)</f>
        <v/>
      </c>
      <c r="R63" s="44" t="str">
        <f>IF(A63="","",IF(AND(I63="Approved",F63="Within appetite"),"Risk now within appetite: acceptance may be unnecessary",IF(AND(I63="Approved",L63&lt;&gt;"",M63&lt;&gt;"",M63-L63&gt;Methodology!$B$6),"Exceeds maximum acceptance period",IF(AND(I63="Approved",J63=""),"Approver not named",""))))</f>
        <v/>
      </c>
      <c r="S63">
        <f>IF(A63="",0,IF(O63&lt;&gt;"Insufficient authority",0,IF(COUNTIFS('Exception Register'!$B$6:$B$45,Checks!$A$11,'Exception Register'!$C$6:$C$45,A63&amp;" ("&amp;B63&amp;")",'Exception Register'!$J$6:$J$45,"Valid")&gt;0,1,0)))</f>
        <v>0</v>
      </c>
      <c r="T63" t="str">
        <f>IF(A63="","",IF(COUNTIF($A$6:$A$105,A63)&gt;1,"Duplicate Acceptance ID",IF(I63&lt;&gt;"Approved","Not approved",IF(OR(B63="",COUNTIF('Risk Register'!$A$6:$A$105,B63)&lt;&gt;1),"Unknown or duplicate Risk ID",IF(OR(G63="",J63=""),"Approval details missing",IF(OR(NOT(ISNUMBER(L63)),NOT(ISNUMBER(M63))),"Decision or expiry date missing/invalid",IF(OR(L63&lt;=0,L63&gt;Methodology!$B$4,M63&lt;L63),"Invalid decision or expiry date",IF(M63&lt;Methodology!$B$4,"Expired",IF(M63-L63&gt;Methodology!$B$6,"Exceeds maximum acceptance period",IF(O63&lt;&gt;"OK","Authority not sufficient","Eligible"))))))))))</f>
        <v/>
      </c>
    </row>
    <row r="64" spans="1:20" x14ac:dyDescent="0.35">
      <c r="A64" s="35"/>
      <c r="B64" s="35"/>
      <c r="C64" s="44" t="str">
        <f>IF(B64="","",IFERROR(INDEX('Risk Register'!$B$6:$B$105,MATCH(B64,'Risk Register'!$A$6:$A$105,0)),"Unknown Risk ID"))</f>
        <v/>
      </c>
      <c r="D64" s="38" t="str">
        <f>IF(B64="","",IFERROR(INDEX('Risk Register'!$D$6:$D$105,MATCH(B64,'Risk Register'!$A$6:$A$105,0)),""))</f>
        <v/>
      </c>
      <c r="E64" s="37" t="str">
        <f>IF(B64="","",IFERROR(INDEX('Risk Register'!$O$6:$O$105,MATCH(B64,'Risk Register'!$A$6:$A$105,0)),""))</f>
        <v/>
      </c>
      <c r="F64" s="38" t="str">
        <f>IF(B64="","",IFERROR(INDEX('Risk Register'!$U$6:$U$105,MATCH(B64,'Risk Register'!$A$6:$A$105,0)),""))</f>
        <v/>
      </c>
      <c r="G64" s="24"/>
      <c r="H64" s="24"/>
      <c r="I64" s="35"/>
      <c r="J64" s="35"/>
      <c r="K64" s="35"/>
      <c r="L64" s="46"/>
      <c r="M64" s="46"/>
      <c r="N64" s="38" t="str">
        <f>IF(F64="","",IFERROR(INDEX(Methodology!$B$48:$B$50,MATCH(F64,Methodology!$A$48:$A$50,0)),""))</f>
        <v/>
      </c>
      <c r="O64" s="38" t="str">
        <f>IF(OR(I64&lt;&gt;"Approved",F64=""),"",IF(F64="Within appetite","Not in breach",IF(K64="","Authority level not set",IF(IFERROR(MATCH(K64,Methodology!$B$49:$B$50,0),0)&gt;=IFERROR(MATCH(N64,Methodology!$B$49:$B$50,0),99),"OK","Insufficient authority"))))</f>
        <v/>
      </c>
      <c r="P64" s="38" t="str">
        <f>IF(A64="","",IF(I64&lt;&gt;"Approved",IF(I64="","No decision",I64),IF(M64="","Approved - no expiry",IF(M64&lt;Methodology!$B$4,"Expired",IF(M64-Methodology!$B$4&lt;=Methodology!$B$5,"Expiring soon","Active")))))</f>
        <v/>
      </c>
      <c r="Q64" s="37" t="str">
        <f>IF(OR(M64="",I64&lt;&gt;"Approved"),"",M64-Methodology!$B$4)</f>
        <v/>
      </c>
      <c r="R64" s="44" t="str">
        <f>IF(A64="","",IF(AND(I64="Approved",F64="Within appetite"),"Risk now within appetite: acceptance may be unnecessary",IF(AND(I64="Approved",L64&lt;&gt;"",M64&lt;&gt;"",M64-L64&gt;Methodology!$B$6),"Exceeds maximum acceptance period",IF(AND(I64="Approved",J64=""),"Approver not named",""))))</f>
        <v/>
      </c>
      <c r="S64">
        <f>IF(A64="",0,IF(O64&lt;&gt;"Insufficient authority",0,IF(COUNTIFS('Exception Register'!$B$6:$B$45,Checks!$A$11,'Exception Register'!$C$6:$C$45,A64&amp;" ("&amp;B64&amp;")",'Exception Register'!$J$6:$J$45,"Valid")&gt;0,1,0)))</f>
        <v>0</v>
      </c>
      <c r="T64" t="str">
        <f>IF(A64="","",IF(COUNTIF($A$6:$A$105,A64)&gt;1,"Duplicate Acceptance ID",IF(I64&lt;&gt;"Approved","Not approved",IF(OR(B64="",COUNTIF('Risk Register'!$A$6:$A$105,B64)&lt;&gt;1),"Unknown or duplicate Risk ID",IF(OR(G64="",J64=""),"Approval details missing",IF(OR(NOT(ISNUMBER(L64)),NOT(ISNUMBER(M64))),"Decision or expiry date missing/invalid",IF(OR(L64&lt;=0,L64&gt;Methodology!$B$4,M64&lt;L64),"Invalid decision or expiry date",IF(M64&lt;Methodology!$B$4,"Expired",IF(M64-L64&gt;Methodology!$B$6,"Exceeds maximum acceptance period",IF(O64&lt;&gt;"OK","Authority not sufficient","Eligible"))))))))))</f>
        <v/>
      </c>
    </row>
    <row r="65" spans="1:20" x14ac:dyDescent="0.35">
      <c r="A65" s="35"/>
      <c r="B65" s="35"/>
      <c r="C65" s="44" t="str">
        <f>IF(B65="","",IFERROR(INDEX('Risk Register'!$B$6:$B$105,MATCH(B65,'Risk Register'!$A$6:$A$105,0)),"Unknown Risk ID"))</f>
        <v/>
      </c>
      <c r="D65" s="38" t="str">
        <f>IF(B65="","",IFERROR(INDEX('Risk Register'!$D$6:$D$105,MATCH(B65,'Risk Register'!$A$6:$A$105,0)),""))</f>
        <v/>
      </c>
      <c r="E65" s="37" t="str">
        <f>IF(B65="","",IFERROR(INDEX('Risk Register'!$O$6:$O$105,MATCH(B65,'Risk Register'!$A$6:$A$105,0)),""))</f>
        <v/>
      </c>
      <c r="F65" s="38" t="str">
        <f>IF(B65="","",IFERROR(INDEX('Risk Register'!$U$6:$U$105,MATCH(B65,'Risk Register'!$A$6:$A$105,0)),""))</f>
        <v/>
      </c>
      <c r="G65" s="24"/>
      <c r="H65" s="24"/>
      <c r="I65" s="35"/>
      <c r="J65" s="35"/>
      <c r="K65" s="35"/>
      <c r="L65" s="46"/>
      <c r="M65" s="46"/>
      <c r="N65" s="38" t="str">
        <f>IF(F65="","",IFERROR(INDEX(Methodology!$B$48:$B$50,MATCH(F65,Methodology!$A$48:$A$50,0)),""))</f>
        <v/>
      </c>
      <c r="O65" s="38" t="str">
        <f>IF(OR(I65&lt;&gt;"Approved",F65=""),"",IF(F65="Within appetite","Not in breach",IF(K65="","Authority level not set",IF(IFERROR(MATCH(K65,Methodology!$B$49:$B$50,0),0)&gt;=IFERROR(MATCH(N65,Methodology!$B$49:$B$50,0),99),"OK","Insufficient authority"))))</f>
        <v/>
      </c>
      <c r="P65" s="38" t="str">
        <f>IF(A65="","",IF(I65&lt;&gt;"Approved",IF(I65="","No decision",I65),IF(M65="","Approved - no expiry",IF(M65&lt;Methodology!$B$4,"Expired",IF(M65-Methodology!$B$4&lt;=Methodology!$B$5,"Expiring soon","Active")))))</f>
        <v/>
      </c>
      <c r="Q65" s="37" t="str">
        <f>IF(OR(M65="",I65&lt;&gt;"Approved"),"",M65-Methodology!$B$4)</f>
        <v/>
      </c>
      <c r="R65" s="44" t="str">
        <f>IF(A65="","",IF(AND(I65="Approved",F65="Within appetite"),"Risk now within appetite: acceptance may be unnecessary",IF(AND(I65="Approved",L65&lt;&gt;"",M65&lt;&gt;"",M65-L65&gt;Methodology!$B$6),"Exceeds maximum acceptance period",IF(AND(I65="Approved",J65=""),"Approver not named",""))))</f>
        <v/>
      </c>
      <c r="S65">
        <f>IF(A65="",0,IF(O65&lt;&gt;"Insufficient authority",0,IF(COUNTIFS('Exception Register'!$B$6:$B$45,Checks!$A$11,'Exception Register'!$C$6:$C$45,A65&amp;" ("&amp;B65&amp;")",'Exception Register'!$J$6:$J$45,"Valid")&gt;0,1,0)))</f>
        <v>0</v>
      </c>
      <c r="T65" t="str">
        <f>IF(A65="","",IF(COUNTIF($A$6:$A$105,A65)&gt;1,"Duplicate Acceptance ID",IF(I65&lt;&gt;"Approved","Not approved",IF(OR(B65="",COUNTIF('Risk Register'!$A$6:$A$105,B65)&lt;&gt;1),"Unknown or duplicate Risk ID",IF(OR(G65="",J65=""),"Approval details missing",IF(OR(NOT(ISNUMBER(L65)),NOT(ISNUMBER(M65))),"Decision or expiry date missing/invalid",IF(OR(L65&lt;=0,L65&gt;Methodology!$B$4,M65&lt;L65),"Invalid decision or expiry date",IF(M65&lt;Methodology!$B$4,"Expired",IF(M65-L65&gt;Methodology!$B$6,"Exceeds maximum acceptance period",IF(O65&lt;&gt;"OK","Authority not sufficient","Eligible"))))))))))</f>
        <v/>
      </c>
    </row>
    <row r="66" spans="1:20" x14ac:dyDescent="0.35">
      <c r="A66" s="35"/>
      <c r="B66" s="35"/>
      <c r="C66" s="44" t="str">
        <f>IF(B66="","",IFERROR(INDEX('Risk Register'!$B$6:$B$105,MATCH(B66,'Risk Register'!$A$6:$A$105,0)),"Unknown Risk ID"))</f>
        <v/>
      </c>
      <c r="D66" s="38" t="str">
        <f>IF(B66="","",IFERROR(INDEX('Risk Register'!$D$6:$D$105,MATCH(B66,'Risk Register'!$A$6:$A$105,0)),""))</f>
        <v/>
      </c>
      <c r="E66" s="37" t="str">
        <f>IF(B66="","",IFERROR(INDEX('Risk Register'!$O$6:$O$105,MATCH(B66,'Risk Register'!$A$6:$A$105,0)),""))</f>
        <v/>
      </c>
      <c r="F66" s="38" t="str">
        <f>IF(B66="","",IFERROR(INDEX('Risk Register'!$U$6:$U$105,MATCH(B66,'Risk Register'!$A$6:$A$105,0)),""))</f>
        <v/>
      </c>
      <c r="G66" s="24"/>
      <c r="H66" s="24"/>
      <c r="I66" s="35"/>
      <c r="J66" s="35"/>
      <c r="K66" s="35"/>
      <c r="L66" s="46"/>
      <c r="M66" s="46"/>
      <c r="N66" s="38" t="str">
        <f>IF(F66="","",IFERROR(INDEX(Methodology!$B$48:$B$50,MATCH(F66,Methodology!$A$48:$A$50,0)),""))</f>
        <v/>
      </c>
      <c r="O66" s="38" t="str">
        <f>IF(OR(I66&lt;&gt;"Approved",F66=""),"",IF(F66="Within appetite","Not in breach",IF(K66="","Authority level not set",IF(IFERROR(MATCH(K66,Methodology!$B$49:$B$50,0),0)&gt;=IFERROR(MATCH(N66,Methodology!$B$49:$B$50,0),99),"OK","Insufficient authority"))))</f>
        <v/>
      </c>
      <c r="P66" s="38" t="str">
        <f>IF(A66="","",IF(I66&lt;&gt;"Approved",IF(I66="","No decision",I66),IF(M66="","Approved - no expiry",IF(M66&lt;Methodology!$B$4,"Expired",IF(M66-Methodology!$B$4&lt;=Methodology!$B$5,"Expiring soon","Active")))))</f>
        <v/>
      </c>
      <c r="Q66" s="37" t="str">
        <f>IF(OR(M66="",I66&lt;&gt;"Approved"),"",M66-Methodology!$B$4)</f>
        <v/>
      </c>
      <c r="R66" s="44" t="str">
        <f>IF(A66="","",IF(AND(I66="Approved",F66="Within appetite"),"Risk now within appetite: acceptance may be unnecessary",IF(AND(I66="Approved",L66&lt;&gt;"",M66&lt;&gt;"",M66-L66&gt;Methodology!$B$6),"Exceeds maximum acceptance period",IF(AND(I66="Approved",J66=""),"Approver not named",""))))</f>
        <v/>
      </c>
      <c r="S66">
        <f>IF(A66="",0,IF(O66&lt;&gt;"Insufficient authority",0,IF(COUNTIFS('Exception Register'!$B$6:$B$45,Checks!$A$11,'Exception Register'!$C$6:$C$45,A66&amp;" ("&amp;B66&amp;")",'Exception Register'!$J$6:$J$45,"Valid")&gt;0,1,0)))</f>
        <v>0</v>
      </c>
      <c r="T66" t="str">
        <f>IF(A66="","",IF(COUNTIF($A$6:$A$105,A66)&gt;1,"Duplicate Acceptance ID",IF(I66&lt;&gt;"Approved","Not approved",IF(OR(B66="",COUNTIF('Risk Register'!$A$6:$A$105,B66)&lt;&gt;1),"Unknown or duplicate Risk ID",IF(OR(G66="",J66=""),"Approval details missing",IF(OR(NOT(ISNUMBER(L66)),NOT(ISNUMBER(M66))),"Decision or expiry date missing/invalid",IF(OR(L66&lt;=0,L66&gt;Methodology!$B$4,M66&lt;L66),"Invalid decision or expiry date",IF(M66&lt;Methodology!$B$4,"Expired",IF(M66-L66&gt;Methodology!$B$6,"Exceeds maximum acceptance period",IF(O66&lt;&gt;"OK","Authority not sufficient","Eligible"))))))))))</f>
        <v/>
      </c>
    </row>
    <row r="67" spans="1:20" x14ac:dyDescent="0.35">
      <c r="A67" s="35"/>
      <c r="B67" s="35"/>
      <c r="C67" s="44" t="str">
        <f>IF(B67="","",IFERROR(INDEX('Risk Register'!$B$6:$B$105,MATCH(B67,'Risk Register'!$A$6:$A$105,0)),"Unknown Risk ID"))</f>
        <v/>
      </c>
      <c r="D67" s="38" t="str">
        <f>IF(B67="","",IFERROR(INDEX('Risk Register'!$D$6:$D$105,MATCH(B67,'Risk Register'!$A$6:$A$105,0)),""))</f>
        <v/>
      </c>
      <c r="E67" s="37" t="str">
        <f>IF(B67="","",IFERROR(INDEX('Risk Register'!$O$6:$O$105,MATCH(B67,'Risk Register'!$A$6:$A$105,0)),""))</f>
        <v/>
      </c>
      <c r="F67" s="38" t="str">
        <f>IF(B67="","",IFERROR(INDEX('Risk Register'!$U$6:$U$105,MATCH(B67,'Risk Register'!$A$6:$A$105,0)),""))</f>
        <v/>
      </c>
      <c r="G67" s="24"/>
      <c r="H67" s="24"/>
      <c r="I67" s="35"/>
      <c r="J67" s="35"/>
      <c r="K67" s="35"/>
      <c r="L67" s="46"/>
      <c r="M67" s="46"/>
      <c r="N67" s="38" t="str">
        <f>IF(F67="","",IFERROR(INDEX(Methodology!$B$48:$B$50,MATCH(F67,Methodology!$A$48:$A$50,0)),""))</f>
        <v/>
      </c>
      <c r="O67" s="38" t="str">
        <f>IF(OR(I67&lt;&gt;"Approved",F67=""),"",IF(F67="Within appetite","Not in breach",IF(K67="","Authority level not set",IF(IFERROR(MATCH(K67,Methodology!$B$49:$B$50,0),0)&gt;=IFERROR(MATCH(N67,Methodology!$B$49:$B$50,0),99),"OK","Insufficient authority"))))</f>
        <v/>
      </c>
      <c r="P67" s="38" t="str">
        <f>IF(A67="","",IF(I67&lt;&gt;"Approved",IF(I67="","No decision",I67),IF(M67="","Approved - no expiry",IF(M67&lt;Methodology!$B$4,"Expired",IF(M67-Methodology!$B$4&lt;=Methodology!$B$5,"Expiring soon","Active")))))</f>
        <v/>
      </c>
      <c r="Q67" s="37" t="str">
        <f>IF(OR(M67="",I67&lt;&gt;"Approved"),"",M67-Methodology!$B$4)</f>
        <v/>
      </c>
      <c r="R67" s="44" t="str">
        <f>IF(A67="","",IF(AND(I67="Approved",F67="Within appetite"),"Risk now within appetite: acceptance may be unnecessary",IF(AND(I67="Approved",L67&lt;&gt;"",M67&lt;&gt;"",M67-L67&gt;Methodology!$B$6),"Exceeds maximum acceptance period",IF(AND(I67="Approved",J67=""),"Approver not named",""))))</f>
        <v/>
      </c>
      <c r="S67">
        <f>IF(A67="",0,IF(O67&lt;&gt;"Insufficient authority",0,IF(COUNTIFS('Exception Register'!$B$6:$B$45,Checks!$A$11,'Exception Register'!$C$6:$C$45,A67&amp;" ("&amp;B67&amp;")",'Exception Register'!$J$6:$J$45,"Valid")&gt;0,1,0)))</f>
        <v>0</v>
      </c>
      <c r="T67" t="str">
        <f>IF(A67="","",IF(COUNTIF($A$6:$A$105,A67)&gt;1,"Duplicate Acceptance ID",IF(I67&lt;&gt;"Approved","Not approved",IF(OR(B67="",COUNTIF('Risk Register'!$A$6:$A$105,B67)&lt;&gt;1),"Unknown or duplicate Risk ID",IF(OR(G67="",J67=""),"Approval details missing",IF(OR(NOT(ISNUMBER(L67)),NOT(ISNUMBER(M67))),"Decision or expiry date missing/invalid",IF(OR(L67&lt;=0,L67&gt;Methodology!$B$4,M67&lt;L67),"Invalid decision or expiry date",IF(M67&lt;Methodology!$B$4,"Expired",IF(M67-L67&gt;Methodology!$B$6,"Exceeds maximum acceptance period",IF(O67&lt;&gt;"OK","Authority not sufficient","Eligible"))))))))))</f>
        <v/>
      </c>
    </row>
    <row r="68" spans="1:20" x14ac:dyDescent="0.35">
      <c r="A68" s="35"/>
      <c r="B68" s="35"/>
      <c r="C68" s="44" t="str">
        <f>IF(B68="","",IFERROR(INDEX('Risk Register'!$B$6:$B$105,MATCH(B68,'Risk Register'!$A$6:$A$105,0)),"Unknown Risk ID"))</f>
        <v/>
      </c>
      <c r="D68" s="38" t="str">
        <f>IF(B68="","",IFERROR(INDEX('Risk Register'!$D$6:$D$105,MATCH(B68,'Risk Register'!$A$6:$A$105,0)),""))</f>
        <v/>
      </c>
      <c r="E68" s="37" t="str">
        <f>IF(B68="","",IFERROR(INDEX('Risk Register'!$O$6:$O$105,MATCH(B68,'Risk Register'!$A$6:$A$105,0)),""))</f>
        <v/>
      </c>
      <c r="F68" s="38" t="str">
        <f>IF(B68="","",IFERROR(INDEX('Risk Register'!$U$6:$U$105,MATCH(B68,'Risk Register'!$A$6:$A$105,0)),""))</f>
        <v/>
      </c>
      <c r="G68" s="24"/>
      <c r="H68" s="24"/>
      <c r="I68" s="35"/>
      <c r="J68" s="35"/>
      <c r="K68" s="35"/>
      <c r="L68" s="46"/>
      <c r="M68" s="46"/>
      <c r="N68" s="38" t="str">
        <f>IF(F68="","",IFERROR(INDEX(Methodology!$B$48:$B$50,MATCH(F68,Methodology!$A$48:$A$50,0)),""))</f>
        <v/>
      </c>
      <c r="O68" s="38" t="str">
        <f>IF(OR(I68&lt;&gt;"Approved",F68=""),"",IF(F68="Within appetite","Not in breach",IF(K68="","Authority level not set",IF(IFERROR(MATCH(K68,Methodology!$B$49:$B$50,0),0)&gt;=IFERROR(MATCH(N68,Methodology!$B$49:$B$50,0),99),"OK","Insufficient authority"))))</f>
        <v/>
      </c>
      <c r="P68" s="38" t="str">
        <f>IF(A68="","",IF(I68&lt;&gt;"Approved",IF(I68="","No decision",I68),IF(M68="","Approved - no expiry",IF(M68&lt;Methodology!$B$4,"Expired",IF(M68-Methodology!$B$4&lt;=Methodology!$B$5,"Expiring soon","Active")))))</f>
        <v/>
      </c>
      <c r="Q68" s="37" t="str">
        <f>IF(OR(M68="",I68&lt;&gt;"Approved"),"",M68-Methodology!$B$4)</f>
        <v/>
      </c>
      <c r="R68" s="44" t="str">
        <f>IF(A68="","",IF(AND(I68="Approved",F68="Within appetite"),"Risk now within appetite: acceptance may be unnecessary",IF(AND(I68="Approved",L68&lt;&gt;"",M68&lt;&gt;"",M68-L68&gt;Methodology!$B$6),"Exceeds maximum acceptance period",IF(AND(I68="Approved",J68=""),"Approver not named",""))))</f>
        <v/>
      </c>
      <c r="S68">
        <f>IF(A68="",0,IF(O68&lt;&gt;"Insufficient authority",0,IF(COUNTIFS('Exception Register'!$B$6:$B$45,Checks!$A$11,'Exception Register'!$C$6:$C$45,A68&amp;" ("&amp;B68&amp;")",'Exception Register'!$J$6:$J$45,"Valid")&gt;0,1,0)))</f>
        <v>0</v>
      </c>
      <c r="T68" t="str">
        <f>IF(A68="","",IF(COUNTIF($A$6:$A$105,A68)&gt;1,"Duplicate Acceptance ID",IF(I68&lt;&gt;"Approved","Not approved",IF(OR(B68="",COUNTIF('Risk Register'!$A$6:$A$105,B68)&lt;&gt;1),"Unknown or duplicate Risk ID",IF(OR(G68="",J68=""),"Approval details missing",IF(OR(NOT(ISNUMBER(L68)),NOT(ISNUMBER(M68))),"Decision or expiry date missing/invalid",IF(OR(L68&lt;=0,L68&gt;Methodology!$B$4,M68&lt;L68),"Invalid decision or expiry date",IF(M68&lt;Methodology!$B$4,"Expired",IF(M68-L68&gt;Methodology!$B$6,"Exceeds maximum acceptance period",IF(O68&lt;&gt;"OK","Authority not sufficient","Eligible"))))))))))</f>
        <v/>
      </c>
    </row>
    <row r="69" spans="1:20" x14ac:dyDescent="0.35">
      <c r="A69" s="35"/>
      <c r="B69" s="35"/>
      <c r="C69" s="44" t="str">
        <f>IF(B69="","",IFERROR(INDEX('Risk Register'!$B$6:$B$105,MATCH(B69,'Risk Register'!$A$6:$A$105,0)),"Unknown Risk ID"))</f>
        <v/>
      </c>
      <c r="D69" s="38" t="str">
        <f>IF(B69="","",IFERROR(INDEX('Risk Register'!$D$6:$D$105,MATCH(B69,'Risk Register'!$A$6:$A$105,0)),""))</f>
        <v/>
      </c>
      <c r="E69" s="37" t="str">
        <f>IF(B69="","",IFERROR(INDEX('Risk Register'!$O$6:$O$105,MATCH(B69,'Risk Register'!$A$6:$A$105,0)),""))</f>
        <v/>
      </c>
      <c r="F69" s="38" t="str">
        <f>IF(B69="","",IFERROR(INDEX('Risk Register'!$U$6:$U$105,MATCH(B69,'Risk Register'!$A$6:$A$105,0)),""))</f>
        <v/>
      </c>
      <c r="G69" s="24"/>
      <c r="H69" s="24"/>
      <c r="I69" s="35"/>
      <c r="J69" s="35"/>
      <c r="K69" s="35"/>
      <c r="L69" s="46"/>
      <c r="M69" s="46"/>
      <c r="N69" s="38" t="str">
        <f>IF(F69="","",IFERROR(INDEX(Methodology!$B$48:$B$50,MATCH(F69,Methodology!$A$48:$A$50,0)),""))</f>
        <v/>
      </c>
      <c r="O69" s="38" t="str">
        <f>IF(OR(I69&lt;&gt;"Approved",F69=""),"",IF(F69="Within appetite","Not in breach",IF(K69="","Authority level not set",IF(IFERROR(MATCH(K69,Methodology!$B$49:$B$50,0),0)&gt;=IFERROR(MATCH(N69,Methodology!$B$49:$B$50,0),99),"OK","Insufficient authority"))))</f>
        <v/>
      </c>
      <c r="P69" s="38" t="str">
        <f>IF(A69="","",IF(I69&lt;&gt;"Approved",IF(I69="","No decision",I69),IF(M69="","Approved - no expiry",IF(M69&lt;Methodology!$B$4,"Expired",IF(M69-Methodology!$B$4&lt;=Methodology!$B$5,"Expiring soon","Active")))))</f>
        <v/>
      </c>
      <c r="Q69" s="37" t="str">
        <f>IF(OR(M69="",I69&lt;&gt;"Approved"),"",M69-Methodology!$B$4)</f>
        <v/>
      </c>
      <c r="R69" s="44" t="str">
        <f>IF(A69="","",IF(AND(I69="Approved",F69="Within appetite"),"Risk now within appetite: acceptance may be unnecessary",IF(AND(I69="Approved",L69&lt;&gt;"",M69&lt;&gt;"",M69-L69&gt;Methodology!$B$6),"Exceeds maximum acceptance period",IF(AND(I69="Approved",J69=""),"Approver not named",""))))</f>
        <v/>
      </c>
      <c r="S69">
        <f>IF(A69="",0,IF(O69&lt;&gt;"Insufficient authority",0,IF(COUNTIFS('Exception Register'!$B$6:$B$45,Checks!$A$11,'Exception Register'!$C$6:$C$45,A69&amp;" ("&amp;B69&amp;")",'Exception Register'!$J$6:$J$45,"Valid")&gt;0,1,0)))</f>
        <v>0</v>
      </c>
      <c r="T69" t="str">
        <f>IF(A69="","",IF(COUNTIF($A$6:$A$105,A69)&gt;1,"Duplicate Acceptance ID",IF(I69&lt;&gt;"Approved","Not approved",IF(OR(B69="",COUNTIF('Risk Register'!$A$6:$A$105,B69)&lt;&gt;1),"Unknown or duplicate Risk ID",IF(OR(G69="",J69=""),"Approval details missing",IF(OR(NOT(ISNUMBER(L69)),NOT(ISNUMBER(M69))),"Decision or expiry date missing/invalid",IF(OR(L69&lt;=0,L69&gt;Methodology!$B$4,M69&lt;L69),"Invalid decision or expiry date",IF(M69&lt;Methodology!$B$4,"Expired",IF(M69-L69&gt;Methodology!$B$6,"Exceeds maximum acceptance period",IF(O69&lt;&gt;"OK","Authority not sufficient","Eligible"))))))))))</f>
        <v/>
      </c>
    </row>
    <row r="70" spans="1:20" x14ac:dyDescent="0.35">
      <c r="A70" s="35"/>
      <c r="B70" s="35"/>
      <c r="C70" s="44" t="str">
        <f>IF(B70="","",IFERROR(INDEX('Risk Register'!$B$6:$B$105,MATCH(B70,'Risk Register'!$A$6:$A$105,0)),"Unknown Risk ID"))</f>
        <v/>
      </c>
      <c r="D70" s="38" t="str">
        <f>IF(B70="","",IFERROR(INDEX('Risk Register'!$D$6:$D$105,MATCH(B70,'Risk Register'!$A$6:$A$105,0)),""))</f>
        <v/>
      </c>
      <c r="E70" s="37" t="str">
        <f>IF(B70="","",IFERROR(INDEX('Risk Register'!$O$6:$O$105,MATCH(B70,'Risk Register'!$A$6:$A$105,0)),""))</f>
        <v/>
      </c>
      <c r="F70" s="38" t="str">
        <f>IF(B70="","",IFERROR(INDEX('Risk Register'!$U$6:$U$105,MATCH(B70,'Risk Register'!$A$6:$A$105,0)),""))</f>
        <v/>
      </c>
      <c r="G70" s="24"/>
      <c r="H70" s="24"/>
      <c r="I70" s="35"/>
      <c r="J70" s="35"/>
      <c r="K70" s="35"/>
      <c r="L70" s="46"/>
      <c r="M70" s="46"/>
      <c r="N70" s="38" t="str">
        <f>IF(F70="","",IFERROR(INDEX(Methodology!$B$48:$B$50,MATCH(F70,Methodology!$A$48:$A$50,0)),""))</f>
        <v/>
      </c>
      <c r="O70" s="38" t="str">
        <f>IF(OR(I70&lt;&gt;"Approved",F70=""),"",IF(F70="Within appetite","Not in breach",IF(K70="","Authority level not set",IF(IFERROR(MATCH(K70,Methodology!$B$49:$B$50,0),0)&gt;=IFERROR(MATCH(N70,Methodology!$B$49:$B$50,0),99),"OK","Insufficient authority"))))</f>
        <v/>
      </c>
      <c r="P70" s="38" t="str">
        <f>IF(A70="","",IF(I70&lt;&gt;"Approved",IF(I70="","No decision",I70),IF(M70="","Approved - no expiry",IF(M70&lt;Methodology!$B$4,"Expired",IF(M70-Methodology!$B$4&lt;=Methodology!$B$5,"Expiring soon","Active")))))</f>
        <v/>
      </c>
      <c r="Q70" s="37" t="str">
        <f>IF(OR(M70="",I70&lt;&gt;"Approved"),"",M70-Methodology!$B$4)</f>
        <v/>
      </c>
      <c r="R70" s="44" t="str">
        <f>IF(A70="","",IF(AND(I70="Approved",F70="Within appetite"),"Risk now within appetite: acceptance may be unnecessary",IF(AND(I70="Approved",L70&lt;&gt;"",M70&lt;&gt;"",M70-L70&gt;Methodology!$B$6),"Exceeds maximum acceptance period",IF(AND(I70="Approved",J70=""),"Approver not named",""))))</f>
        <v/>
      </c>
      <c r="S70">
        <f>IF(A70="",0,IF(O70&lt;&gt;"Insufficient authority",0,IF(COUNTIFS('Exception Register'!$B$6:$B$45,Checks!$A$11,'Exception Register'!$C$6:$C$45,A70&amp;" ("&amp;B70&amp;")",'Exception Register'!$J$6:$J$45,"Valid")&gt;0,1,0)))</f>
        <v>0</v>
      </c>
      <c r="T70" t="str">
        <f>IF(A70="","",IF(COUNTIF($A$6:$A$105,A70)&gt;1,"Duplicate Acceptance ID",IF(I70&lt;&gt;"Approved","Not approved",IF(OR(B70="",COUNTIF('Risk Register'!$A$6:$A$105,B70)&lt;&gt;1),"Unknown or duplicate Risk ID",IF(OR(G70="",J70=""),"Approval details missing",IF(OR(NOT(ISNUMBER(L70)),NOT(ISNUMBER(M70))),"Decision or expiry date missing/invalid",IF(OR(L70&lt;=0,L70&gt;Methodology!$B$4,M70&lt;L70),"Invalid decision or expiry date",IF(M70&lt;Methodology!$B$4,"Expired",IF(M70-L70&gt;Methodology!$B$6,"Exceeds maximum acceptance period",IF(O70&lt;&gt;"OK","Authority not sufficient","Eligible"))))))))))</f>
        <v/>
      </c>
    </row>
    <row r="71" spans="1:20" x14ac:dyDescent="0.35">
      <c r="A71" s="35"/>
      <c r="B71" s="35"/>
      <c r="C71" s="44" t="str">
        <f>IF(B71="","",IFERROR(INDEX('Risk Register'!$B$6:$B$105,MATCH(B71,'Risk Register'!$A$6:$A$105,0)),"Unknown Risk ID"))</f>
        <v/>
      </c>
      <c r="D71" s="38" t="str">
        <f>IF(B71="","",IFERROR(INDEX('Risk Register'!$D$6:$D$105,MATCH(B71,'Risk Register'!$A$6:$A$105,0)),""))</f>
        <v/>
      </c>
      <c r="E71" s="37" t="str">
        <f>IF(B71="","",IFERROR(INDEX('Risk Register'!$O$6:$O$105,MATCH(B71,'Risk Register'!$A$6:$A$105,0)),""))</f>
        <v/>
      </c>
      <c r="F71" s="38" t="str">
        <f>IF(B71="","",IFERROR(INDEX('Risk Register'!$U$6:$U$105,MATCH(B71,'Risk Register'!$A$6:$A$105,0)),""))</f>
        <v/>
      </c>
      <c r="G71" s="24"/>
      <c r="H71" s="24"/>
      <c r="I71" s="35"/>
      <c r="J71" s="35"/>
      <c r="K71" s="35"/>
      <c r="L71" s="46"/>
      <c r="M71" s="46"/>
      <c r="N71" s="38" t="str">
        <f>IF(F71="","",IFERROR(INDEX(Methodology!$B$48:$B$50,MATCH(F71,Methodology!$A$48:$A$50,0)),""))</f>
        <v/>
      </c>
      <c r="O71" s="38" t="str">
        <f>IF(OR(I71&lt;&gt;"Approved",F71=""),"",IF(F71="Within appetite","Not in breach",IF(K71="","Authority level not set",IF(IFERROR(MATCH(K71,Methodology!$B$49:$B$50,0),0)&gt;=IFERROR(MATCH(N71,Methodology!$B$49:$B$50,0),99),"OK","Insufficient authority"))))</f>
        <v/>
      </c>
      <c r="P71" s="38" t="str">
        <f>IF(A71="","",IF(I71&lt;&gt;"Approved",IF(I71="","No decision",I71),IF(M71="","Approved - no expiry",IF(M71&lt;Methodology!$B$4,"Expired",IF(M71-Methodology!$B$4&lt;=Methodology!$B$5,"Expiring soon","Active")))))</f>
        <v/>
      </c>
      <c r="Q71" s="37" t="str">
        <f>IF(OR(M71="",I71&lt;&gt;"Approved"),"",M71-Methodology!$B$4)</f>
        <v/>
      </c>
      <c r="R71" s="44" t="str">
        <f>IF(A71="","",IF(AND(I71="Approved",F71="Within appetite"),"Risk now within appetite: acceptance may be unnecessary",IF(AND(I71="Approved",L71&lt;&gt;"",M71&lt;&gt;"",M71-L71&gt;Methodology!$B$6),"Exceeds maximum acceptance period",IF(AND(I71="Approved",J71=""),"Approver not named",""))))</f>
        <v/>
      </c>
      <c r="S71">
        <f>IF(A71="",0,IF(O71&lt;&gt;"Insufficient authority",0,IF(COUNTIFS('Exception Register'!$B$6:$B$45,Checks!$A$11,'Exception Register'!$C$6:$C$45,A71&amp;" ("&amp;B71&amp;")",'Exception Register'!$J$6:$J$45,"Valid")&gt;0,1,0)))</f>
        <v>0</v>
      </c>
      <c r="T71" t="str">
        <f>IF(A71="","",IF(COUNTIF($A$6:$A$105,A71)&gt;1,"Duplicate Acceptance ID",IF(I71&lt;&gt;"Approved","Not approved",IF(OR(B71="",COUNTIF('Risk Register'!$A$6:$A$105,B71)&lt;&gt;1),"Unknown or duplicate Risk ID",IF(OR(G71="",J71=""),"Approval details missing",IF(OR(NOT(ISNUMBER(L71)),NOT(ISNUMBER(M71))),"Decision or expiry date missing/invalid",IF(OR(L71&lt;=0,L71&gt;Methodology!$B$4,M71&lt;L71),"Invalid decision or expiry date",IF(M71&lt;Methodology!$B$4,"Expired",IF(M71-L71&gt;Methodology!$B$6,"Exceeds maximum acceptance period",IF(O71&lt;&gt;"OK","Authority not sufficient","Eligible"))))))))))</f>
        <v/>
      </c>
    </row>
    <row r="72" spans="1:20" x14ac:dyDescent="0.35">
      <c r="A72" s="35"/>
      <c r="B72" s="35"/>
      <c r="C72" s="44" t="str">
        <f>IF(B72="","",IFERROR(INDEX('Risk Register'!$B$6:$B$105,MATCH(B72,'Risk Register'!$A$6:$A$105,0)),"Unknown Risk ID"))</f>
        <v/>
      </c>
      <c r="D72" s="38" t="str">
        <f>IF(B72="","",IFERROR(INDEX('Risk Register'!$D$6:$D$105,MATCH(B72,'Risk Register'!$A$6:$A$105,0)),""))</f>
        <v/>
      </c>
      <c r="E72" s="37" t="str">
        <f>IF(B72="","",IFERROR(INDEX('Risk Register'!$O$6:$O$105,MATCH(B72,'Risk Register'!$A$6:$A$105,0)),""))</f>
        <v/>
      </c>
      <c r="F72" s="38" t="str">
        <f>IF(B72="","",IFERROR(INDEX('Risk Register'!$U$6:$U$105,MATCH(B72,'Risk Register'!$A$6:$A$105,0)),""))</f>
        <v/>
      </c>
      <c r="G72" s="24"/>
      <c r="H72" s="24"/>
      <c r="I72" s="35"/>
      <c r="J72" s="35"/>
      <c r="K72" s="35"/>
      <c r="L72" s="46"/>
      <c r="M72" s="46"/>
      <c r="N72" s="38" t="str">
        <f>IF(F72="","",IFERROR(INDEX(Methodology!$B$48:$B$50,MATCH(F72,Methodology!$A$48:$A$50,0)),""))</f>
        <v/>
      </c>
      <c r="O72" s="38" t="str">
        <f>IF(OR(I72&lt;&gt;"Approved",F72=""),"",IF(F72="Within appetite","Not in breach",IF(K72="","Authority level not set",IF(IFERROR(MATCH(K72,Methodology!$B$49:$B$50,0),0)&gt;=IFERROR(MATCH(N72,Methodology!$B$49:$B$50,0),99),"OK","Insufficient authority"))))</f>
        <v/>
      </c>
      <c r="P72" s="38" t="str">
        <f>IF(A72="","",IF(I72&lt;&gt;"Approved",IF(I72="","No decision",I72),IF(M72="","Approved - no expiry",IF(M72&lt;Methodology!$B$4,"Expired",IF(M72-Methodology!$B$4&lt;=Methodology!$B$5,"Expiring soon","Active")))))</f>
        <v/>
      </c>
      <c r="Q72" s="37" t="str">
        <f>IF(OR(M72="",I72&lt;&gt;"Approved"),"",M72-Methodology!$B$4)</f>
        <v/>
      </c>
      <c r="R72" s="44" t="str">
        <f>IF(A72="","",IF(AND(I72="Approved",F72="Within appetite"),"Risk now within appetite: acceptance may be unnecessary",IF(AND(I72="Approved",L72&lt;&gt;"",M72&lt;&gt;"",M72-L72&gt;Methodology!$B$6),"Exceeds maximum acceptance period",IF(AND(I72="Approved",J72=""),"Approver not named",""))))</f>
        <v/>
      </c>
      <c r="S72">
        <f>IF(A72="",0,IF(O72&lt;&gt;"Insufficient authority",0,IF(COUNTIFS('Exception Register'!$B$6:$B$45,Checks!$A$11,'Exception Register'!$C$6:$C$45,A72&amp;" ("&amp;B72&amp;")",'Exception Register'!$J$6:$J$45,"Valid")&gt;0,1,0)))</f>
        <v>0</v>
      </c>
      <c r="T72" t="str">
        <f>IF(A72="","",IF(COUNTIF($A$6:$A$105,A72)&gt;1,"Duplicate Acceptance ID",IF(I72&lt;&gt;"Approved","Not approved",IF(OR(B72="",COUNTIF('Risk Register'!$A$6:$A$105,B72)&lt;&gt;1),"Unknown or duplicate Risk ID",IF(OR(G72="",J72=""),"Approval details missing",IF(OR(NOT(ISNUMBER(L72)),NOT(ISNUMBER(M72))),"Decision or expiry date missing/invalid",IF(OR(L72&lt;=0,L72&gt;Methodology!$B$4,M72&lt;L72),"Invalid decision or expiry date",IF(M72&lt;Methodology!$B$4,"Expired",IF(M72-L72&gt;Methodology!$B$6,"Exceeds maximum acceptance period",IF(O72&lt;&gt;"OK","Authority not sufficient","Eligible"))))))))))</f>
        <v/>
      </c>
    </row>
    <row r="73" spans="1:20" x14ac:dyDescent="0.35">
      <c r="A73" s="35"/>
      <c r="B73" s="35"/>
      <c r="C73" s="44" t="str">
        <f>IF(B73="","",IFERROR(INDEX('Risk Register'!$B$6:$B$105,MATCH(B73,'Risk Register'!$A$6:$A$105,0)),"Unknown Risk ID"))</f>
        <v/>
      </c>
      <c r="D73" s="38" t="str">
        <f>IF(B73="","",IFERROR(INDEX('Risk Register'!$D$6:$D$105,MATCH(B73,'Risk Register'!$A$6:$A$105,0)),""))</f>
        <v/>
      </c>
      <c r="E73" s="37" t="str">
        <f>IF(B73="","",IFERROR(INDEX('Risk Register'!$O$6:$O$105,MATCH(B73,'Risk Register'!$A$6:$A$105,0)),""))</f>
        <v/>
      </c>
      <c r="F73" s="38" t="str">
        <f>IF(B73="","",IFERROR(INDEX('Risk Register'!$U$6:$U$105,MATCH(B73,'Risk Register'!$A$6:$A$105,0)),""))</f>
        <v/>
      </c>
      <c r="G73" s="24"/>
      <c r="H73" s="24"/>
      <c r="I73" s="35"/>
      <c r="J73" s="35"/>
      <c r="K73" s="35"/>
      <c r="L73" s="46"/>
      <c r="M73" s="46"/>
      <c r="N73" s="38" t="str">
        <f>IF(F73="","",IFERROR(INDEX(Methodology!$B$48:$B$50,MATCH(F73,Methodology!$A$48:$A$50,0)),""))</f>
        <v/>
      </c>
      <c r="O73" s="38" t="str">
        <f>IF(OR(I73&lt;&gt;"Approved",F73=""),"",IF(F73="Within appetite","Not in breach",IF(K73="","Authority level not set",IF(IFERROR(MATCH(K73,Methodology!$B$49:$B$50,0),0)&gt;=IFERROR(MATCH(N73,Methodology!$B$49:$B$50,0),99),"OK","Insufficient authority"))))</f>
        <v/>
      </c>
      <c r="P73" s="38" t="str">
        <f>IF(A73="","",IF(I73&lt;&gt;"Approved",IF(I73="","No decision",I73),IF(M73="","Approved - no expiry",IF(M73&lt;Methodology!$B$4,"Expired",IF(M73-Methodology!$B$4&lt;=Methodology!$B$5,"Expiring soon","Active")))))</f>
        <v/>
      </c>
      <c r="Q73" s="37" t="str">
        <f>IF(OR(M73="",I73&lt;&gt;"Approved"),"",M73-Methodology!$B$4)</f>
        <v/>
      </c>
      <c r="R73" s="44" t="str">
        <f>IF(A73="","",IF(AND(I73="Approved",F73="Within appetite"),"Risk now within appetite: acceptance may be unnecessary",IF(AND(I73="Approved",L73&lt;&gt;"",M73&lt;&gt;"",M73-L73&gt;Methodology!$B$6),"Exceeds maximum acceptance period",IF(AND(I73="Approved",J73=""),"Approver not named",""))))</f>
        <v/>
      </c>
      <c r="S73">
        <f>IF(A73="",0,IF(O73&lt;&gt;"Insufficient authority",0,IF(COUNTIFS('Exception Register'!$B$6:$B$45,Checks!$A$11,'Exception Register'!$C$6:$C$45,A73&amp;" ("&amp;B73&amp;")",'Exception Register'!$J$6:$J$45,"Valid")&gt;0,1,0)))</f>
        <v>0</v>
      </c>
      <c r="T73" t="str">
        <f>IF(A73="","",IF(COUNTIF($A$6:$A$105,A73)&gt;1,"Duplicate Acceptance ID",IF(I73&lt;&gt;"Approved","Not approved",IF(OR(B73="",COUNTIF('Risk Register'!$A$6:$A$105,B73)&lt;&gt;1),"Unknown or duplicate Risk ID",IF(OR(G73="",J73=""),"Approval details missing",IF(OR(NOT(ISNUMBER(L73)),NOT(ISNUMBER(M73))),"Decision or expiry date missing/invalid",IF(OR(L73&lt;=0,L73&gt;Methodology!$B$4,M73&lt;L73),"Invalid decision or expiry date",IF(M73&lt;Methodology!$B$4,"Expired",IF(M73-L73&gt;Methodology!$B$6,"Exceeds maximum acceptance period",IF(O73&lt;&gt;"OK","Authority not sufficient","Eligible"))))))))))</f>
        <v/>
      </c>
    </row>
    <row r="74" spans="1:20" x14ac:dyDescent="0.35">
      <c r="A74" s="35"/>
      <c r="B74" s="35"/>
      <c r="C74" s="44" t="str">
        <f>IF(B74="","",IFERROR(INDEX('Risk Register'!$B$6:$B$105,MATCH(B74,'Risk Register'!$A$6:$A$105,0)),"Unknown Risk ID"))</f>
        <v/>
      </c>
      <c r="D74" s="38" t="str">
        <f>IF(B74="","",IFERROR(INDEX('Risk Register'!$D$6:$D$105,MATCH(B74,'Risk Register'!$A$6:$A$105,0)),""))</f>
        <v/>
      </c>
      <c r="E74" s="37" t="str">
        <f>IF(B74="","",IFERROR(INDEX('Risk Register'!$O$6:$O$105,MATCH(B74,'Risk Register'!$A$6:$A$105,0)),""))</f>
        <v/>
      </c>
      <c r="F74" s="38" t="str">
        <f>IF(B74="","",IFERROR(INDEX('Risk Register'!$U$6:$U$105,MATCH(B74,'Risk Register'!$A$6:$A$105,0)),""))</f>
        <v/>
      </c>
      <c r="G74" s="24"/>
      <c r="H74" s="24"/>
      <c r="I74" s="35"/>
      <c r="J74" s="35"/>
      <c r="K74" s="35"/>
      <c r="L74" s="46"/>
      <c r="M74" s="46"/>
      <c r="N74" s="38" t="str">
        <f>IF(F74="","",IFERROR(INDEX(Methodology!$B$48:$B$50,MATCH(F74,Methodology!$A$48:$A$50,0)),""))</f>
        <v/>
      </c>
      <c r="O74" s="38" t="str">
        <f>IF(OR(I74&lt;&gt;"Approved",F74=""),"",IF(F74="Within appetite","Not in breach",IF(K74="","Authority level not set",IF(IFERROR(MATCH(K74,Methodology!$B$49:$B$50,0),0)&gt;=IFERROR(MATCH(N74,Methodology!$B$49:$B$50,0),99),"OK","Insufficient authority"))))</f>
        <v/>
      </c>
      <c r="P74" s="38" t="str">
        <f>IF(A74="","",IF(I74&lt;&gt;"Approved",IF(I74="","No decision",I74),IF(M74="","Approved - no expiry",IF(M74&lt;Methodology!$B$4,"Expired",IF(M74-Methodology!$B$4&lt;=Methodology!$B$5,"Expiring soon","Active")))))</f>
        <v/>
      </c>
      <c r="Q74" s="37" t="str">
        <f>IF(OR(M74="",I74&lt;&gt;"Approved"),"",M74-Methodology!$B$4)</f>
        <v/>
      </c>
      <c r="R74" s="44" t="str">
        <f>IF(A74="","",IF(AND(I74="Approved",F74="Within appetite"),"Risk now within appetite: acceptance may be unnecessary",IF(AND(I74="Approved",L74&lt;&gt;"",M74&lt;&gt;"",M74-L74&gt;Methodology!$B$6),"Exceeds maximum acceptance period",IF(AND(I74="Approved",J74=""),"Approver not named",""))))</f>
        <v/>
      </c>
      <c r="S74">
        <f>IF(A74="",0,IF(O74&lt;&gt;"Insufficient authority",0,IF(COUNTIFS('Exception Register'!$B$6:$B$45,Checks!$A$11,'Exception Register'!$C$6:$C$45,A74&amp;" ("&amp;B74&amp;")",'Exception Register'!$J$6:$J$45,"Valid")&gt;0,1,0)))</f>
        <v>0</v>
      </c>
      <c r="T74" t="str">
        <f>IF(A74="","",IF(COUNTIF($A$6:$A$105,A74)&gt;1,"Duplicate Acceptance ID",IF(I74&lt;&gt;"Approved","Not approved",IF(OR(B74="",COUNTIF('Risk Register'!$A$6:$A$105,B74)&lt;&gt;1),"Unknown or duplicate Risk ID",IF(OR(G74="",J74=""),"Approval details missing",IF(OR(NOT(ISNUMBER(L74)),NOT(ISNUMBER(M74))),"Decision or expiry date missing/invalid",IF(OR(L74&lt;=0,L74&gt;Methodology!$B$4,M74&lt;L74),"Invalid decision or expiry date",IF(M74&lt;Methodology!$B$4,"Expired",IF(M74-L74&gt;Methodology!$B$6,"Exceeds maximum acceptance period",IF(O74&lt;&gt;"OK","Authority not sufficient","Eligible"))))))))))</f>
        <v/>
      </c>
    </row>
    <row r="75" spans="1:20" x14ac:dyDescent="0.35">
      <c r="A75" s="35"/>
      <c r="B75" s="35"/>
      <c r="C75" s="44" t="str">
        <f>IF(B75="","",IFERROR(INDEX('Risk Register'!$B$6:$B$105,MATCH(B75,'Risk Register'!$A$6:$A$105,0)),"Unknown Risk ID"))</f>
        <v/>
      </c>
      <c r="D75" s="38" t="str">
        <f>IF(B75="","",IFERROR(INDEX('Risk Register'!$D$6:$D$105,MATCH(B75,'Risk Register'!$A$6:$A$105,0)),""))</f>
        <v/>
      </c>
      <c r="E75" s="37" t="str">
        <f>IF(B75="","",IFERROR(INDEX('Risk Register'!$O$6:$O$105,MATCH(B75,'Risk Register'!$A$6:$A$105,0)),""))</f>
        <v/>
      </c>
      <c r="F75" s="38" t="str">
        <f>IF(B75="","",IFERROR(INDEX('Risk Register'!$U$6:$U$105,MATCH(B75,'Risk Register'!$A$6:$A$105,0)),""))</f>
        <v/>
      </c>
      <c r="G75" s="24"/>
      <c r="H75" s="24"/>
      <c r="I75" s="35"/>
      <c r="J75" s="35"/>
      <c r="K75" s="35"/>
      <c r="L75" s="46"/>
      <c r="M75" s="46"/>
      <c r="N75" s="38" t="str">
        <f>IF(F75="","",IFERROR(INDEX(Methodology!$B$48:$B$50,MATCH(F75,Methodology!$A$48:$A$50,0)),""))</f>
        <v/>
      </c>
      <c r="O75" s="38" t="str">
        <f>IF(OR(I75&lt;&gt;"Approved",F75=""),"",IF(F75="Within appetite","Not in breach",IF(K75="","Authority level not set",IF(IFERROR(MATCH(K75,Methodology!$B$49:$B$50,0),0)&gt;=IFERROR(MATCH(N75,Methodology!$B$49:$B$50,0),99),"OK","Insufficient authority"))))</f>
        <v/>
      </c>
      <c r="P75" s="38" t="str">
        <f>IF(A75="","",IF(I75&lt;&gt;"Approved",IF(I75="","No decision",I75),IF(M75="","Approved - no expiry",IF(M75&lt;Methodology!$B$4,"Expired",IF(M75-Methodology!$B$4&lt;=Methodology!$B$5,"Expiring soon","Active")))))</f>
        <v/>
      </c>
      <c r="Q75" s="37" t="str">
        <f>IF(OR(M75="",I75&lt;&gt;"Approved"),"",M75-Methodology!$B$4)</f>
        <v/>
      </c>
      <c r="R75" s="44" t="str">
        <f>IF(A75="","",IF(AND(I75="Approved",F75="Within appetite"),"Risk now within appetite: acceptance may be unnecessary",IF(AND(I75="Approved",L75&lt;&gt;"",M75&lt;&gt;"",M75-L75&gt;Methodology!$B$6),"Exceeds maximum acceptance period",IF(AND(I75="Approved",J75=""),"Approver not named",""))))</f>
        <v/>
      </c>
      <c r="S75">
        <f>IF(A75="",0,IF(O75&lt;&gt;"Insufficient authority",0,IF(COUNTIFS('Exception Register'!$B$6:$B$45,Checks!$A$11,'Exception Register'!$C$6:$C$45,A75&amp;" ("&amp;B75&amp;")",'Exception Register'!$J$6:$J$45,"Valid")&gt;0,1,0)))</f>
        <v>0</v>
      </c>
      <c r="T75" t="str">
        <f>IF(A75="","",IF(COUNTIF($A$6:$A$105,A75)&gt;1,"Duplicate Acceptance ID",IF(I75&lt;&gt;"Approved","Not approved",IF(OR(B75="",COUNTIF('Risk Register'!$A$6:$A$105,B75)&lt;&gt;1),"Unknown or duplicate Risk ID",IF(OR(G75="",J75=""),"Approval details missing",IF(OR(NOT(ISNUMBER(L75)),NOT(ISNUMBER(M75))),"Decision or expiry date missing/invalid",IF(OR(L75&lt;=0,L75&gt;Methodology!$B$4,M75&lt;L75),"Invalid decision or expiry date",IF(M75&lt;Methodology!$B$4,"Expired",IF(M75-L75&gt;Methodology!$B$6,"Exceeds maximum acceptance period",IF(O75&lt;&gt;"OK","Authority not sufficient","Eligible"))))))))))</f>
        <v/>
      </c>
    </row>
    <row r="76" spans="1:20" x14ac:dyDescent="0.35">
      <c r="A76" s="35"/>
      <c r="B76" s="35"/>
      <c r="C76" s="44" t="str">
        <f>IF(B76="","",IFERROR(INDEX('Risk Register'!$B$6:$B$105,MATCH(B76,'Risk Register'!$A$6:$A$105,0)),"Unknown Risk ID"))</f>
        <v/>
      </c>
      <c r="D76" s="38" t="str">
        <f>IF(B76="","",IFERROR(INDEX('Risk Register'!$D$6:$D$105,MATCH(B76,'Risk Register'!$A$6:$A$105,0)),""))</f>
        <v/>
      </c>
      <c r="E76" s="37" t="str">
        <f>IF(B76="","",IFERROR(INDEX('Risk Register'!$O$6:$O$105,MATCH(B76,'Risk Register'!$A$6:$A$105,0)),""))</f>
        <v/>
      </c>
      <c r="F76" s="38" t="str">
        <f>IF(B76="","",IFERROR(INDEX('Risk Register'!$U$6:$U$105,MATCH(B76,'Risk Register'!$A$6:$A$105,0)),""))</f>
        <v/>
      </c>
      <c r="G76" s="24"/>
      <c r="H76" s="24"/>
      <c r="I76" s="35"/>
      <c r="J76" s="35"/>
      <c r="K76" s="35"/>
      <c r="L76" s="46"/>
      <c r="M76" s="46"/>
      <c r="N76" s="38" t="str">
        <f>IF(F76="","",IFERROR(INDEX(Methodology!$B$48:$B$50,MATCH(F76,Methodology!$A$48:$A$50,0)),""))</f>
        <v/>
      </c>
      <c r="O76" s="38" t="str">
        <f>IF(OR(I76&lt;&gt;"Approved",F76=""),"",IF(F76="Within appetite","Not in breach",IF(K76="","Authority level not set",IF(IFERROR(MATCH(K76,Methodology!$B$49:$B$50,0),0)&gt;=IFERROR(MATCH(N76,Methodology!$B$49:$B$50,0),99),"OK","Insufficient authority"))))</f>
        <v/>
      </c>
      <c r="P76" s="38" t="str">
        <f>IF(A76="","",IF(I76&lt;&gt;"Approved",IF(I76="","No decision",I76),IF(M76="","Approved - no expiry",IF(M76&lt;Methodology!$B$4,"Expired",IF(M76-Methodology!$B$4&lt;=Methodology!$B$5,"Expiring soon","Active")))))</f>
        <v/>
      </c>
      <c r="Q76" s="37" t="str">
        <f>IF(OR(M76="",I76&lt;&gt;"Approved"),"",M76-Methodology!$B$4)</f>
        <v/>
      </c>
      <c r="R76" s="44" t="str">
        <f>IF(A76="","",IF(AND(I76="Approved",F76="Within appetite"),"Risk now within appetite: acceptance may be unnecessary",IF(AND(I76="Approved",L76&lt;&gt;"",M76&lt;&gt;"",M76-L76&gt;Methodology!$B$6),"Exceeds maximum acceptance period",IF(AND(I76="Approved",J76=""),"Approver not named",""))))</f>
        <v/>
      </c>
      <c r="S76">
        <f>IF(A76="",0,IF(O76&lt;&gt;"Insufficient authority",0,IF(COUNTIFS('Exception Register'!$B$6:$B$45,Checks!$A$11,'Exception Register'!$C$6:$C$45,A76&amp;" ("&amp;B76&amp;")",'Exception Register'!$J$6:$J$45,"Valid")&gt;0,1,0)))</f>
        <v>0</v>
      </c>
      <c r="T76" t="str">
        <f>IF(A76="","",IF(COUNTIF($A$6:$A$105,A76)&gt;1,"Duplicate Acceptance ID",IF(I76&lt;&gt;"Approved","Not approved",IF(OR(B76="",COUNTIF('Risk Register'!$A$6:$A$105,B76)&lt;&gt;1),"Unknown or duplicate Risk ID",IF(OR(G76="",J76=""),"Approval details missing",IF(OR(NOT(ISNUMBER(L76)),NOT(ISNUMBER(M76))),"Decision or expiry date missing/invalid",IF(OR(L76&lt;=0,L76&gt;Methodology!$B$4,M76&lt;L76),"Invalid decision or expiry date",IF(M76&lt;Methodology!$B$4,"Expired",IF(M76-L76&gt;Methodology!$B$6,"Exceeds maximum acceptance period",IF(O76&lt;&gt;"OK","Authority not sufficient","Eligible"))))))))))</f>
        <v/>
      </c>
    </row>
    <row r="77" spans="1:20" x14ac:dyDescent="0.35">
      <c r="A77" s="35"/>
      <c r="B77" s="35"/>
      <c r="C77" s="44" t="str">
        <f>IF(B77="","",IFERROR(INDEX('Risk Register'!$B$6:$B$105,MATCH(B77,'Risk Register'!$A$6:$A$105,0)),"Unknown Risk ID"))</f>
        <v/>
      </c>
      <c r="D77" s="38" t="str">
        <f>IF(B77="","",IFERROR(INDEX('Risk Register'!$D$6:$D$105,MATCH(B77,'Risk Register'!$A$6:$A$105,0)),""))</f>
        <v/>
      </c>
      <c r="E77" s="37" t="str">
        <f>IF(B77="","",IFERROR(INDEX('Risk Register'!$O$6:$O$105,MATCH(B77,'Risk Register'!$A$6:$A$105,0)),""))</f>
        <v/>
      </c>
      <c r="F77" s="38" t="str">
        <f>IF(B77="","",IFERROR(INDEX('Risk Register'!$U$6:$U$105,MATCH(B77,'Risk Register'!$A$6:$A$105,0)),""))</f>
        <v/>
      </c>
      <c r="G77" s="24"/>
      <c r="H77" s="24"/>
      <c r="I77" s="35"/>
      <c r="J77" s="35"/>
      <c r="K77" s="35"/>
      <c r="L77" s="46"/>
      <c r="M77" s="46"/>
      <c r="N77" s="38" t="str">
        <f>IF(F77="","",IFERROR(INDEX(Methodology!$B$48:$B$50,MATCH(F77,Methodology!$A$48:$A$50,0)),""))</f>
        <v/>
      </c>
      <c r="O77" s="38" t="str">
        <f>IF(OR(I77&lt;&gt;"Approved",F77=""),"",IF(F77="Within appetite","Not in breach",IF(K77="","Authority level not set",IF(IFERROR(MATCH(K77,Methodology!$B$49:$B$50,0),0)&gt;=IFERROR(MATCH(N77,Methodology!$B$49:$B$50,0),99),"OK","Insufficient authority"))))</f>
        <v/>
      </c>
      <c r="P77" s="38" t="str">
        <f>IF(A77="","",IF(I77&lt;&gt;"Approved",IF(I77="","No decision",I77),IF(M77="","Approved - no expiry",IF(M77&lt;Methodology!$B$4,"Expired",IF(M77-Methodology!$B$4&lt;=Methodology!$B$5,"Expiring soon","Active")))))</f>
        <v/>
      </c>
      <c r="Q77" s="37" t="str">
        <f>IF(OR(M77="",I77&lt;&gt;"Approved"),"",M77-Methodology!$B$4)</f>
        <v/>
      </c>
      <c r="R77" s="44" t="str">
        <f>IF(A77="","",IF(AND(I77="Approved",F77="Within appetite"),"Risk now within appetite: acceptance may be unnecessary",IF(AND(I77="Approved",L77&lt;&gt;"",M77&lt;&gt;"",M77-L77&gt;Methodology!$B$6),"Exceeds maximum acceptance period",IF(AND(I77="Approved",J77=""),"Approver not named",""))))</f>
        <v/>
      </c>
      <c r="S77">
        <f>IF(A77="",0,IF(O77&lt;&gt;"Insufficient authority",0,IF(COUNTIFS('Exception Register'!$B$6:$B$45,Checks!$A$11,'Exception Register'!$C$6:$C$45,A77&amp;" ("&amp;B77&amp;")",'Exception Register'!$J$6:$J$45,"Valid")&gt;0,1,0)))</f>
        <v>0</v>
      </c>
      <c r="T77" t="str">
        <f>IF(A77="","",IF(COUNTIF($A$6:$A$105,A77)&gt;1,"Duplicate Acceptance ID",IF(I77&lt;&gt;"Approved","Not approved",IF(OR(B77="",COUNTIF('Risk Register'!$A$6:$A$105,B77)&lt;&gt;1),"Unknown or duplicate Risk ID",IF(OR(G77="",J77=""),"Approval details missing",IF(OR(NOT(ISNUMBER(L77)),NOT(ISNUMBER(M77))),"Decision or expiry date missing/invalid",IF(OR(L77&lt;=0,L77&gt;Methodology!$B$4,M77&lt;L77),"Invalid decision or expiry date",IF(M77&lt;Methodology!$B$4,"Expired",IF(M77-L77&gt;Methodology!$B$6,"Exceeds maximum acceptance period",IF(O77&lt;&gt;"OK","Authority not sufficient","Eligible"))))))))))</f>
        <v/>
      </c>
    </row>
    <row r="78" spans="1:20" x14ac:dyDescent="0.35">
      <c r="A78" s="35"/>
      <c r="B78" s="35"/>
      <c r="C78" s="44" t="str">
        <f>IF(B78="","",IFERROR(INDEX('Risk Register'!$B$6:$B$105,MATCH(B78,'Risk Register'!$A$6:$A$105,0)),"Unknown Risk ID"))</f>
        <v/>
      </c>
      <c r="D78" s="38" t="str">
        <f>IF(B78="","",IFERROR(INDEX('Risk Register'!$D$6:$D$105,MATCH(B78,'Risk Register'!$A$6:$A$105,0)),""))</f>
        <v/>
      </c>
      <c r="E78" s="37" t="str">
        <f>IF(B78="","",IFERROR(INDEX('Risk Register'!$O$6:$O$105,MATCH(B78,'Risk Register'!$A$6:$A$105,0)),""))</f>
        <v/>
      </c>
      <c r="F78" s="38" t="str">
        <f>IF(B78="","",IFERROR(INDEX('Risk Register'!$U$6:$U$105,MATCH(B78,'Risk Register'!$A$6:$A$105,0)),""))</f>
        <v/>
      </c>
      <c r="G78" s="24"/>
      <c r="H78" s="24"/>
      <c r="I78" s="35"/>
      <c r="J78" s="35"/>
      <c r="K78" s="35"/>
      <c r="L78" s="46"/>
      <c r="M78" s="46"/>
      <c r="N78" s="38" t="str">
        <f>IF(F78="","",IFERROR(INDEX(Methodology!$B$48:$B$50,MATCH(F78,Methodology!$A$48:$A$50,0)),""))</f>
        <v/>
      </c>
      <c r="O78" s="38" t="str">
        <f>IF(OR(I78&lt;&gt;"Approved",F78=""),"",IF(F78="Within appetite","Not in breach",IF(K78="","Authority level not set",IF(IFERROR(MATCH(K78,Methodology!$B$49:$B$50,0),0)&gt;=IFERROR(MATCH(N78,Methodology!$B$49:$B$50,0),99),"OK","Insufficient authority"))))</f>
        <v/>
      </c>
      <c r="P78" s="38" t="str">
        <f>IF(A78="","",IF(I78&lt;&gt;"Approved",IF(I78="","No decision",I78),IF(M78="","Approved - no expiry",IF(M78&lt;Methodology!$B$4,"Expired",IF(M78-Methodology!$B$4&lt;=Methodology!$B$5,"Expiring soon","Active")))))</f>
        <v/>
      </c>
      <c r="Q78" s="37" t="str">
        <f>IF(OR(M78="",I78&lt;&gt;"Approved"),"",M78-Methodology!$B$4)</f>
        <v/>
      </c>
      <c r="R78" s="44" t="str">
        <f>IF(A78="","",IF(AND(I78="Approved",F78="Within appetite"),"Risk now within appetite: acceptance may be unnecessary",IF(AND(I78="Approved",L78&lt;&gt;"",M78&lt;&gt;"",M78-L78&gt;Methodology!$B$6),"Exceeds maximum acceptance period",IF(AND(I78="Approved",J78=""),"Approver not named",""))))</f>
        <v/>
      </c>
      <c r="S78">
        <f>IF(A78="",0,IF(O78&lt;&gt;"Insufficient authority",0,IF(COUNTIFS('Exception Register'!$B$6:$B$45,Checks!$A$11,'Exception Register'!$C$6:$C$45,A78&amp;" ("&amp;B78&amp;")",'Exception Register'!$J$6:$J$45,"Valid")&gt;0,1,0)))</f>
        <v>0</v>
      </c>
      <c r="T78" t="str">
        <f>IF(A78="","",IF(COUNTIF($A$6:$A$105,A78)&gt;1,"Duplicate Acceptance ID",IF(I78&lt;&gt;"Approved","Not approved",IF(OR(B78="",COUNTIF('Risk Register'!$A$6:$A$105,B78)&lt;&gt;1),"Unknown or duplicate Risk ID",IF(OR(G78="",J78=""),"Approval details missing",IF(OR(NOT(ISNUMBER(L78)),NOT(ISNUMBER(M78))),"Decision or expiry date missing/invalid",IF(OR(L78&lt;=0,L78&gt;Methodology!$B$4,M78&lt;L78),"Invalid decision or expiry date",IF(M78&lt;Methodology!$B$4,"Expired",IF(M78-L78&gt;Methodology!$B$6,"Exceeds maximum acceptance period",IF(O78&lt;&gt;"OK","Authority not sufficient","Eligible"))))))))))</f>
        <v/>
      </c>
    </row>
    <row r="79" spans="1:20" x14ac:dyDescent="0.35">
      <c r="A79" s="35"/>
      <c r="B79" s="35"/>
      <c r="C79" s="44" t="str">
        <f>IF(B79="","",IFERROR(INDEX('Risk Register'!$B$6:$B$105,MATCH(B79,'Risk Register'!$A$6:$A$105,0)),"Unknown Risk ID"))</f>
        <v/>
      </c>
      <c r="D79" s="38" t="str">
        <f>IF(B79="","",IFERROR(INDEX('Risk Register'!$D$6:$D$105,MATCH(B79,'Risk Register'!$A$6:$A$105,0)),""))</f>
        <v/>
      </c>
      <c r="E79" s="37" t="str">
        <f>IF(B79="","",IFERROR(INDEX('Risk Register'!$O$6:$O$105,MATCH(B79,'Risk Register'!$A$6:$A$105,0)),""))</f>
        <v/>
      </c>
      <c r="F79" s="38" t="str">
        <f>IF(B79="","",IFERROR(INDEX('Risk Register'!$U$6:$U$105,MATCH(B79,'Risk Register'!$A$6:$A$105,0)),""))</f>
        <v/>
      </c>
      <c r="G79" s="24"/>
      <c r="H79" s="24"/>
      <c r="I79" s="35"/>
      <c r="J79" s="35"/>
      <c r="K79" s="35"/>
      <c r="L79" s="46"/>
      <c r="M79" s="46"/>
      <c r="N79" s="38" t="str">
        <f>IF(F79="","",IFERROR(INDEX(Methodology!$B$48:$B$50,MATCH(F79,Methodology!$A$48:$A$50,0)),""))</f>
        <v/>
      </c>
      <c r="O79" s="38" t="str">
        <f>IF(OR(I79&lt;&gt;"Approved",F79=""),"",IF(F79="Within appetite","Not in breach",IF(K79="","Authority level not set",IF(IFERROR(MATCH(K79,Methodology!$B$49:$B$50,0),0)&gt;=IFERROR(MATCH(N79,Methodology!$B$49:$B$50,0),99),"OK","Insufficient authority"))))</f>
        <v/>
      </c>
      <c r="P79" s="38" t="str">
        <f>IF(A79="","",IF(I79&lt;&gt;"Approved",IF(I79="","No decision",I79),IF(M79="","Approved - no expiry",IF(M79&lt;Methodology!$B$4,"Expired",IF(M79-Methodology!$B$4&lt;=Methodology!$B$5,"Expiring soon","Active")))))</f>
        <v/>
      </c>
      <c r="Q79" s="37" t="str">
        <f>IF(OR(M79="",I79&lt;&gt;"Approved"),"",M79-Methodology!$B$4)</f>
        <v/>
      </c>
      <c r="R79" s="44" t="str">
        <f>IF(A79="","",IF(AND(I79="Approved",F79="Within appetite"),"Risk now within appetite: acceptance may be unnecessary",IF(AND(I79="Approved",L79&lt;&gt;"",M79&lt;&gt;"",M79-L79&gt;Methodology!$B$6),"Exceeds maximum acceptance period",IF(AND(I79="Approved",J79=""),"Approver not named",""))))</f>
        <v/>
      </c>
      <c r="S79">
        <f>IF(A79="",0,IF(O79&lt;&gt;"Insufficient authority",0,IF(COUNTIFS('Exception Register'!$B$6:$B$45,Checks!$A$11,'Exception Register'!$C$6:$C$45,A79&amp;" ("&amp;B79&amp;")",'Exception Register'!$J$6:$J$45,"Valid")&gt;0,1,0)))</f>
        <v>0</v>
      </c>
      <c r="T79" t="str">
        <f>IF(A79="","",IF(COUNTIF($A$6:$A$105,A79)&gt;1,"Duplicate Acceptance ID",IF(I79&lt;&gt;"Approved","Not approved",IF(OR(B79="",COUNTIF('Risk Register'!$A$6:$A$105,B79)&lt;&gt;1),"Unknown or duplicate Risk ID",IF(OR(G79="",J79=""),"Approval details missing",IF(OR(NOT(ISNUMBER(L79)),NOT(ISNUMBER(M79))),"Decision or expiry date missing/invalid",IF(OR(L79&lt;=0,L79&gt;Methodology!$B$4,M79&lt;L79),"Invalid decision or expiry date",IF(M79&lt;Methodology!$B$4,"Expired",IF(M79-L79&gt;Methodology!$B$6,"Exceeds maximum acceptance period",IF(O79&lt;&gt;"OK","Authority not sufficient","Eligible"))))))))))</f>
        <v/>
      </c>
    </row>
    <row r="80" spans="1:20" x14ac:dyDescent="0.35">
      <c r="A80" s="35"/>
      <c r="B80" s="35"/>
      <c r="C80" s="44" t="str">
        <f>IF(B80="","",IFERROR(INDEX('Risk Register'!$B$6:$B$105,MATCH(B80,'Risk Register'!$A$6:$A$105,0)),"Unknown Risk ID"))</f>
        <v/>
      </c>
      <c r="D80" s="38" t="str">
        <f>IF(B80="","",IFERROR(INDEX('Risk Register'!$D$6:$D$105,MATCH(B80,'Risk Register'!$A$6:$A$105,0)),""))</f>
        <v/>
      </c>
      <c r="E80" s="37" t="str">
        <f>IF(B80="","",IFERROR(INDEX('Risk Register'!$O$6:$O$105,MATCH(B80,'Risk Register'!$A$6:$A$105,0)),""))</f>
        <v/>
      </c>
      <c r="F80" s="38" t="str">
        <f>IF(B80="","",IFERROR(INDEX('Risk Register'!$U$6:$U$105,MATCH(B80,'Risk Register'!$A$6:$A$105,0)),""))</f>
        <v/>
      </c>
      <c r="G80" s="24"/>
      <c r="H80" s="24"/>
      <c r="I80" s="35"/>
      <c r="J80" s="35"/>
      <c r="K80" s="35"/>
      <c r="L80" s="46"/>
      <c r="M80" s="46"/>
      <c r="N80" s="38" t="str">
        <f>IF(F80="","",IFERROR(INDEX(Methodology!$B$48:$B$50,MATCH(F80,Methodology!$A$48:$A$50,0)),""))</f>
        <v/>
      </c>
      <c r="O80" s="38" t="str">
        <f>IF(OR(I80&lt;&gt;"Approved",F80=""),"",IF(F80="Within appetite","Not in breach",IF(K80="","Authority level not set",IF(IFERROR(MATCH(K80,Methodology!$B$49:$B$50,0),0)&gt;=IFERROR(MATCH(N80,Methodology!$B$49:$B$50,0),99),"OK","Insufficient authority"))))</f>
        <v/>
      </c>
      <c r="P80" s="38" t="str">
        <f>IF(A80="","",IF(I80&lt;&gt;"Approved",IF(I80="","No decision",I80),IF(M80="","Approved - no expiry",IF(M80&lt;Methodology!$B$4,"Expired",IF(M80-Methodology!$B$4&lt;=Methodology!$B$5,"Expiring soon","Active")))))</f>
        <v/>
      </c>
      <c r="Q80" s="37" t="str">
        <f>IF(OR(M80="",I80&lt;&gt;"Approved"),"",M80-Methodology!$B$4)</f>
        <v/>
      </c>
      <c r="R80" s="44" t="str">
        <f>IF(A80="","",IF(AND(I80="Approved",F80="Within appetite"),"Risk now within appetite: acceptance may be unnecessary",IF(AND(I80="Approved",L80&lt;&gt;"",M80&lt;&gt;"",M80-L80&gt;Methodology!$B$6),"Exceeds maximum acceptance period",IF(AND(I80="Approved",J80=""),"Approver not named",""))))</f>
        <v/>
      </c>
      <c r="S80">
        <f>IF(A80="",0,IF(O80&lt;&gt;"Insufficient authority",0,IF(COUNTIFS('Exception Register'!$B$6:$B$45,Checks!$A$11,'Exception Register'!$C$6:$C$45,A80&amp;" ("&amp;B80&amp;")",'Exception Register'!$J$6:$J$45,"Valid")&gt;0,1,0)))</f>
        <v>0</v>
      </c>
      <c r="T80" t="str">
        <f>IF(A80="","",IF(COUNTIF($A$6:$A$105,A80)&gt;1,"Duplicate Acceptance ID",IF(I80&lt;&gt;"Approved","Not approved",IF(OR(B80="",COUNTIF('Risk Register'!$A$6:$A$105,B80)&lt;&gt;1),"Unknown or duplicate Risk ID",IF(OR(G80="",J80=""),"Approval details missing",IF(OR(NOT(ISNUMBER(L80)),NOT(ISNUMBER(M80))),"Decision or expiry date missing/invalid",IF(OR(L80&lt;=0,L80&gt;Methodology!$B$4,M80&lt;L80),"Invalid decision or expiry date",IF(M80&lt;Methodology!$B$4,"Expired",IF(M80-L80&gt;Methodology!$B$6,"Exceeds maximum acceptance period",IF(O80&lt;&gt;"OK","Authority not sufficient","Eligible"))))))))))</f>
        <v/>
      </c>
    </row>
    <row r="81" spans="1:20" x14ac:dyDescent="0.35">
      <c r="A81" s="35"/>
      <c r="B81" s="35"/>
      <c r="C81" s="44" t="str">
        <f>IF(B81="","",IFERROR(INDEX('Risk Register'!$B$6:$B$105,MATCH(B81,'Risk Register'!$A$6:$A$105,0)),"Unknown Risk ID"))</f>
        <v/>
      </c>
      <c r="D81" s="38" t="str">
        <f>IF(B81="","",IFERROR(INDEX('Risk Register'!$D$6:$D$105,MATCH(B81,'Risk Register'!$A$6:$A$105,0)),""))</f>
        <v/>
      </c>
      <c r="E81" s="37" t="str">
        <f>IF(B81="","",IFERROR(INDEX('Risk Register'!$O$6:$O$105,MATCH(B81,'Risk Register'!$A$6:$A$105,0)),""))</f>
        <v/>
      </c>
      <c r="F81" s="38" t="str">
        <f>IF(B81="","",IFERROR(INDEX('Risk Register'!$U$6:$U$105,MATCH(B81,'Risk Register'!$A$6:$A$105,0)),""))</f>
        <v/>
      </c>
      <c r="G81" s="24"/>
      <c r="H81" s="24"/>
      <c r="I81" s="35"/>
      <c r="J81" s="35"/>
      <c r="K81" s="35"/>
      <c r="L81" s="46"/>
      <c r="M81" s="46"/>
      <c r="N81" s="38" t="str">
        <f>IF(F81="","",IFERROR(INDEX(Methodology!$B$48:$B$50,MATCH(F81,Methodology!$A$48:$A$50,0)),""))</f>
        <v/>
      </c>
      <c r="O81" s="38" t="str">
        <f>IF(OR(I81&lt;&gt;"Approved",F81=""),"",IF(F81="Within appetite","Not in breach",IF(K81="","Authority level not set",IF(IFERROR(MATCH(K81,Methodology!$B$49:$B$50,0),0)&gt;=IFERROR(MATCH(N81,Methodology!$B$49:$B$50,0),99),"OK","Insufficient authority"))))</f>
        <v/>
      </c>
      <c r="P81" s="38" t="str">
        <f>IF(A81="","",IF(I81&lt;&gt;"Approved",IF(I81="","No decision",I81),IF(M81="","Approved - no expiry",IF(M81&lt;Methodology!$B$4,"Expired",IF(M81-Methodology!$B$4&lt;=Methodology!$B$5,"Expiring soon","Active")))))</f>
        <v/>
      </c>
      <c r="Q81" s="37" t="str">
        <f>IF(OR(M81="",I81&lt;&gt;"Approved"),"",M81-Methodology!$B$4)</f>
        <v/>
      </c>
      <c r="R81" s="44" t="str">
        <f>IF(A81="","",IF(AND(I81="Approved",F81="Within appetite"),"Risk now within appetite: acceptance may be unnecessary",IF(AND(I81="Approved",L81&lt;&gt;"",M81&lt;&gt;"",M81-L81&gt;Methodology!$B$6),"Exceeds maximum acceptance period",IF(AND(I81="Approved",J81=""),"Approver not named",""))))</f>
        <v/>
      </c>
      <c r="S81">
        <f>IF(A81="",0,IF(O81&lt;&gt;"Insufficient authority",0,IF(COUNTIFS('Exception Register'!$B$6:$B$45,Checks!$A$11,'Exception Register'!$C$6:$C$45,A81&amp;" ("&amp;B81&amp;")",'Exception Register'!$J$6:$J$45,"Valid")&gt;0,1,0)))</f>
        <v>0</v>
      </c>
      <c r="T81" t="str">
        <f>IF(A81="","",IF(COUNTIF($A$6:$A$105,A81)&gt;1,"Duplicate Acceptance ID",IF(I81&lt;&gt;"Approved","Not approved",IF(OR(B81="",COUNTIF('Risk Register'!$A$6:$A$105,B81)&lt;&gt;1),"Unknown or duplicate Risk ID",IF(OR(G81="",J81=""),"Approval details missing",IF(OR(NOT(ISNUMBER(L81)),NOT(ISNUMBER(M81))),"Decision or expiry date missing/invalid",IF(OR(L81&lt;=0,L81&gt;Methodology!$B$4,M81&lt;L81),"Invalid decision or expiry date",IF(M81&lt;Methodology!$B$4,"Expired",IF(M81-L81&gt;Methodology!$B$6,"Exceeds maximum acceptance period",IF(O81&lt;&gt;"OK","Authority not sufficient","Eligible"))))))))))</f>
        <v/>
      </c>
    </row>
    <row r="82" spans="1:20" x14ac:dyDescent="0.35">
      <c r="A82" s="35"/>
      <c r="B82" s="35"/>
      <c r="C82" s="44" t="str">
        <f>IF(B82="","",IFERROR(INDEX('Risk Register'!$B$6:$B$105,MATCH(B82,'Risk Register'!$A$6:$A$105,0)),"Unknown Risk ID"))</f>
        <v/>
      </c>
      <c r="D82" s="38" t="str">
        <f>IF(B82="","",IFERROR(INDEX('Risk Register'!$D$6:$D$105,MATCH(B82,'Risk Register'!$A$6:$A$105,0)),""))</f>
        <v/>
      </c>
      <c r="E82" s="37" t="str">
        <f>IF(B82="","",IFERROR(INDEX('Risk Register'!$O$6:$O$105,MATCH(B82,'Risk Register'!$A$6:$A$105,0)),""))</f>
        <v/>
      </c>
      <c r="F82" s="38" t="str">
        <f>IF(B82="","",IFERROR(INDEX('Risk Register'!$U$6:$U$105,MATCH(B82,'Risk Register'!$A$6:$A$105,0)),""))</f>
        <v/>
      </c>
      <c r="G82" s="24"/>
      <c r="H82" s="24"/>
      <c r="I82" s="35"/>
      <c r="J82" s="35"/>
      <c r="K82" s="35"/>
      <c r="L82" s="46"/>
      <c r="M82" s="46"/>
      <c r="N82" s="38" t="str">
        <f>IF(F82="","",IFERROR(INDEX(Methodology!$B$48:$B$50,MATCH(F82,Methodology!$A$48:$A$50,0)),""))</f>
        <v/>
      </c>
      <c r="O82" s="38" t="str">
        <f>IF(OR(I82&lt;&gt;"Approved",F82=""),"",IF(F82="Within appetite","Not in breach",IF(K82="","Authority level not set",IF(IFERROR(MATCH(K82,Methodology!$B$49:$B$50,0),0)&gt;=IFERROR(MATCH(N82,Methodology!$B$49:$B$50,0),99),"OK","Insufficient authority"))))</f>
        <v/>
      </c>
      <c r="P82" s="38" t="str">
        <f>IF(A82="","",IF(I82&lt;&gt;"Approved",IF(I82="","No decision",I82),IF(M82="","Approved - no expiry",IF(M82&lt;Methodology!$B$4,"Expired",IF(M82-Methodology!$B$4&lt;=Methodology!$B$5,"Expiring soon","Active")))))</f>
        <v/>
      </c>
      <c r="Q82" s="37" t="str">
        <f>IF(OR(M82="",I82&lt;&gt;"Approved"),"",M82-Methodology!$B$4)</f>
        <v/>
      </c>
      <c r="R82" s="44" t="str">
        <f>IF(A82="","",IF(AND(I82="Approved",F82="Within appetite"),"Risk now within appetite: acceptance may be unnecessary",IF(AND(I82="Approved",L82&lt;&gt;"",M82&lt;&gt;"",M82-L82&gt;Methodology!$B$6),"Exceeds maximum acceptance period",IF(AND(I82="Approved",J82=""),"Approver not named",""))))</f>
        <v/>
      </c>
      <c r="S82">
        <f>IF(A82="",0,IF(O82&lt;&gt;"Insufficient authority",0,IF(COUNTIFS('Exception Register'!$B$6:$B$45,Checks!$A$11,'Exception Register'!$C$6:$C$45,A82&amp;" ("&amp;B82&amp;")",'Exception Register'!$J$6:$J$45,"Valid")&gt;0,1,0)))</f>
        <v>0</v>
      </c>
      <c r="T82" t="str">
        <f>IF(A82="","",IF(COUNTIF($A$6:$A$105,A82)&gt;1,"Duplicate Acceptance ID",IF(I82&lt;&gt;"Approved","Not approved",IF(OR(B82="",COUNTIF('Risk Register'!$A$6:$A$105,B82)&lt;&gt;1),"Unknown or duplicate Risk ID",IF(OR(G82="",J82=""),"Approval details missing",IF(OR(NOT(ISNUMBER(L82)),NOT(ISNUMBER(M82))),"Decision or expiry date missing/invalid",IF(OR(L82&lt;=0,L82&gt;Methodology!$B$4,M82&lt;L82),"Invalid decision or expiry date",IF(M82&lt;Methodology!$B$4,"Expired",IF(M82-L82&gt;Methodology!$B$6,"Exceeds maximum acceptance period",IF(O82&lt;&gt;"OK","Authority not sufficient","Eligible"))))))))))</f>
        <v/>
      </c>
    </row>
    <row r="83" spans="1:20" x14ac:dyDescent="0.35">
      <c r="A83" s="35"/>
      <c r="B83" s="35"/>
      <c r="C83" s="44" t="str">
        <f>IF(B83="","",IFERROR(INDEX('Risk Register'!$B$6:$B$105,MATCH(B83,'Risk Register'!$A$6:$A$105,0)),"Unknown Risk ID"))</f>
        <v/>
      </c>
      <c r="D83" s="38" t="str">
        <f>IF(B83="","",IFERROR(INDEX('Risk Register'!$D$6:$D$105,MATCH(B83,'Risk Register'!$A$6:$A$105,0)),""))</f>
        <v/>
      </c>
      <c r="E83" s="37" t="str">
        <f>IF(B83="","",IFERROR(INDEX('Risk Register'!$O$6:$O$105,MATCH(B83,'Risk Register'!$A$6:$A$105,0)),""))</f>
        <v/>
      </c>
      <c r="F83" s="38" t="str">
        <f>IF(B83="","",IFERROR(INDEX('Risk Register'!$U$6:$U$105,MATCH(B83,'Risk Register'!$A$6:$A$105,0)),""))</f>
        <v/>
      </c>
      <c r="G83" s="24"/>
      <c r="H83" s="24"/>
      <c r="I83" s="35"/>
      <c r="J83" s="35"/>
      <c r="K83" s="35"/>
      <c r="L83" s="46"/>
      <c r="M83" s="46"/>
      <c r="N83" s="38" t="str">
        <f>IF(F83="","",IFERROR(INDEX(Methodology!$B$48:$B$50,MATCH(F83,Methodology!$A$48:$A$50,0)),""))</f>
        <v/>
      </c>
      <c r="O83" s="38" t="str">
        <f>IF(OR(I83&lt;&gt;"Approved",F83=""),"",IF(F83="Within appetite","Not in breach",IF(K83="","Authority level not set",IF(IFERROR(MATCH(K83,Methodology!$B$49:$B$50,0),0)&gt;=IFERROR(MATCH(N83,Methodology!$B$49:$B$50,0),99),"OK","Insufficient authority"))))</f>
        <v/>
      </c>
      <c r="P83" s="38" t="str">
        <f>IF(A83="","",IF(I83&lt;&gt;"Approved",IF(I83="","No decision",I83),IF(M83="","Approved - no expiry",IF(M83&lt;Methodology!$B$4,"Expired",IF(M83-Methodology!$B$4&lt;=Methodology!$B$5,"Expiring soon","Active")))))</f>
        <v/>
      </c>
      <c r="Q83" s="37" t="str">
        <f>IF(OR(M83="",I83&lt;&gt;"Approved"),"",M83-Methodology!$B$4)</f>
        <v/>
      </c>
      <c r="R83" s="44" t="str">
        <f>IF(A83="","",IF(AND(I83="Approved",F83="Within appetite"),"Risk now within appetite: acceptance may be unnecessary",IF(AND(I83="Approved",L83&lt;&gt;"",M83&lt;&gt;"",M83-L83&gt;Methodology!$B$6),"Exceeds maximum acceptance period",IF(AND(I83="Approved",J83=""),"Approver not named",""))))</f>
        <v/>
      </c>
      <c r="S83">
        <f>IF(A83="",0,IF(O83&lt;&gt;"Insufficient authority",0,IF(COUNTIFS('Exception Register'!$B$6:$B$45,Checks!$A$11,'Exception Register'!$C$6:$C$45,A83&amp;" ("&amp;B83&amp;")",'Exception Register'!$J$6:$J$45,"Valid")&gt;0,1,0)))</f>
        <v>0</v>
      </c>
      <c r="T83" t="str">
        <f>IF(A83="","",IF(COUNTIF($A$6:$A$105,A83)&gt;1,"Duplicate Acceptance ID",IF(I83&lt;&gt;"Approved","Not approved",IF(OR(B83="",COUNTIF('Risk Register'!$A$6:$A$105,B83)&lt;&gt;1),"Unknown or duplicate Risk ID",IF(OR(G83="",J83=""),"Approval details missing",IF(OR(NOT(ISNUMBER(L83)),NOT(ISNUMBER(M83))),"Decision or expiry date missing/invalid",IF(OR(L83&lt;=0,L83&gt;Methodology!$B$4,M83&lt;L83),"Invalid decision or expiry date",IF(M83&lt;Methodology!$B$4,"Expired",IF(M83-L83&gt;Methodology!$B$6,"Exceeds maximum acceptance period",IF(O83&lt;&gt;"OK","Authority not sufficient","Eligible"))))))))))</f>
        <v/>
      </c>
    </row>
    <row r="84" spans="1:20" x14ac:dyDescent="0.35">
      <c r="A84" s="35"/>
      <c r="B84" s="35"/>
      <c r="C84" s="44" t="str">
        <f>IF(B84="","",IFERROR(INDEX('Risk Register'!$B$6:$B$105,MATCH(B84,'Risk Register'!$A$6:$A$105,0)),"Unknown Risk ID"))</f>
        <v/>
      </c>
      <c r="D84" s="38" t="str">
        <f>IF(B84="","",IFERROR(INDEX('Risk Register'!$D$6:$D$105,MATCH(B84,'Risk Register'!$A$6:$A$105,0)),""))</f>
        <v/>
      </c>
      <c r="E84" s="37" t="str">
        <f>IF(B84="","",IFERROR(INDEX('Risk Register'!$O$6:$O$105,MATCH(B84,'Risk Register'!$A$6:$A$105,0)),""))</f>
        <v/>
      </c>
      <c r="F84" s="38" t="str">
        <f>IF(B84="","",IFERROR(INDEX('Risk Register'!$U$6:$U$105,MATCH(B84,'Risk Register'!$A$6:$A$105,0)),""))</f>
        <v/>
      </c>
      <c r="G84" s="24"/>
      <c r="H84" s="24"/>
      <c r="I84" s="35"/>
      <c r="J84" s="35"/>
      <c r="K84" s="35"/>
      <c r="L84" s="46"/>
      <c r="M84" s="46"/>
      <c r="N84" s="38" t="str">
        <f>IF(F84="","",IFERROR(INDEX(Methodology!$B$48:$B$50,MATCH(F84,Methodology!$A$48:$A$50,0)),""))</f>
        <v/>
      </c>
      <c r="O84" s="38" t="str">
        <f>IF(OR(I84&lt;&gt;"Approved",F84=""),"",IF(F84="Within appetite","Not in breach",IF(K84="","Authority level not set",IF(IFERROR(MATCH(K84,Methodology!$B$49:$B$50,0),0)&gt;=IFERROR(MATCH(N84,Methodology!$B$49:$B$50,0),99),"OK","Insufficient authority"))))</f>
        <v/>
      </c>
      <c r="P84" s="38" t="str">
        <f>IF(A84="","",IF(I84&lt;&gt;"Approved",IF(I84="","No decision",I84),IF(M84="","Approved - no expiry",IF(M84&lt;Methodology!$B$4,"Expired",IF(M84-Methodology!$B$4&lt;=Methodology!$B$5,"Expiring soon","Active")))))</f>
        <v/>
      </c>
      <c r="Q84" s="37" t="str">
        <f>IF(OR(M84="",I84&lt;&gt;"Approved"),"",M84-Methodology!$B$4)</f>
        <v/>
      </c>
      <c r="R84" s="44" t="str">
        <f>IF(A84="","",IF(AND(I84="Approved",F84="Within appetite"),"Risk now within appetite: acceptance may be unnecessary",IF(AND(I84="Approved",L84&lt;&gt;"",M84&lt;&gt;"",M84-L84&gt;Methodology!$B$6),"Exceeds maximum acceptance period",IF(AND(I84="Approved",J84=""),"Approver not named",""))))</f>
        <v/>
      </c>
      <c r="S84">
        <f>IF(A84="",0,IF(O84&lt;&gt;"Insufficient authority",0,IF(COUNTIFS('Exception Register'!$B$6:$B$45,Checks!$A$11,'Exception Register'!$C$6:$C$45,A84&amp;" ("&amp;B84&amp;")",'Exception Register'!$J$6:$J$45,"Valid")&gt;0,1,0)))</f>
        <v>0</v>
      </c>
      <c r="T84" t="str">
        <f>IF(A84="","",IF(COUNTIF($A$6:$A$105,A84)&gt;1,"Duplicate Acceptance ID",IF(I84&lt;&gt;"Approved","Not approved",IF(OR(B84="",COUNTIF('Risk Register'!$A$6:$A$105,B84)&lt;&gt;1),"Unknown or duplicate Risk ID",IF(OR(G84="",J84=""),"Approval details missing",IF(OR(NOT(ISNUMBER(L84)),NOT(ISNUMBER(M84))),"Decision or expiry date missing/invalid",IF(OR(L84&lt;=0,L84&gt;Methodology!$B$4,M84&lt;L84),"Invalid decision or expiry date",IF(M84&lt;Methodology!$B$4,"Expired",IF(M84-L84&gt;Methodology!$B$6,"Exceeds maximum acceptance period",IF(O84&lt;&gt;"OK","Authority not sufficient","Eligible"))))))))))</f>
        <v/>
      </c>
    </row>
    <row r="85" spans="1:20" x14ac:dyDescent="0.35">
      <c r="A85" s="35"/>
      <c r="B85" s="35"/>
      <c r="C85" s="44" t="str">
        <f>IF(B85="","",IFERROR(INDEX('Risk Register'!$B$6:$B$105,MATCH(B85,'Risk Register'!$A$6:$A$105,0)),"Unknown Risk ID"))</f>
        <v/>
      </c>
      <c r="D85" s="38" t="str">
        <f>IF(B85="","",IFERROR(INDEX('Risk Register'!$D$6:$D$105,MATCH(B85,'Risk Register'!$A$6:$A$105,0)),""))</f>
        <v/>
      </c>
      <c r="E85" s="37" t="str">
        <f>IF(B85="","",IFERROR(INDEX('Risk Register'!$O$6:$O$105,MATCH(B85,'Risk Register'!$A$6:$A$105,0)),""))</f>
        <v/>
      </c>
      <c r="F85" s="38" t="str">
        <f>IF(B85="","",IFERROR(INDEX('Risk Register'!$U$6:$U$105,MATCH(B85,'Risk Register'!$A$6:$A$105,0)),""))</f>
        <v/>
      </c>
      <c r="G85" s="24"/>
      <c r="H85" s="24"/>
      <c r="I85" s="35"/>
      <c r="J85" s="35"/>
      <c r="K85" s="35"/>
      <c r="L85" s="46"/>
      <c r="M85" s="46"/>
      <c r="N85" s="38" t="str">
        <f>IF(F85="","",IFERROR(INDEX(Methodology!$B$48:$B$50,MATCH(F85,Methodology!$A$48:$A$50,0)),""))</f>
        <v/>
      </c>
      <c r="O85" s="38" t="str">
        <f>IF(OR(I85&lt;&gt;"Approved",F85=""),"",IF(F85="Within appetite","Not in breach",IF(K85="","Authority level not set",IF(IFERROR(MATCH(K85,Methodology!$B$49:$B$50,0),0)&gt;=IFERROR(MATCH(N85,Methodology!$B$49:$B$50,0),99),"OK","Insufficient authority"))))</f>
        <v/>
      </c>
      <c r="P85" s="38" t="str">
        <f>IF(A85="","",IF(I85&lt;&gt;"Approved",IF(I85="","No decision",I85),IF(M85="","Approved - no expiry",IF(M85&lt;Methodology!$B$4,"Expired",IF(M85-Methodology!$B$4&lt;=Methodology!$B$5,"Expiring soon","Active")))))</f>
        <v/>
      </c>
      <c r="Q85" s="37" t="str">
        <f>IF(OR(M85="",I85&lt;&gt;"Approved"),"",M85-Methodology!$B$4)</f>
        <v/>
      </c>
      <c r="R85" s="44" t="str">
        <f>IF(A85="","",IF(AND(I85="Approved",F85="Within appetite"),"Risk now within appetite: acceptance may be unnecessary",IF(AND(I85="Approved",L85&lt;&gt;"",M85&lt;&gt;"",M85-L85&gt;Methodology!$B$6),"Exceeds maximum acceptance period",IF(AND(I85="Approved",J85=""),"Approver not named",""))))</f>
        <v/>
      </c>
      <c r="S85">
        <f>IF(A85="",0,IF(O85&lt;&gt;"Insufficient authority",0,IF(COUNTIFS('Exception Register'!$B$6:$B$45,Checks!$A$11,'Exception Register'!$C$6:$C$45,A85&amp;" ("&amp;B85&amp;")",'Exception Register'!$J$6:$J$45,"Valid")&gt;0,1,0)))</f>
        <v>0</v>
      </c>
      <c r="T85" t="str">
        <f>IF(A85="","",IF(COUNTIF($A$6:$A$105,A85)&gt;1,"Duplicate Acceptance ID",IF(I85&lt;&gt;"Approved","Not approved",IF(OR(B85="",COUNTIF('Risk Register'!$A$6:$A$105,B85)&lt;&gt;1),"Unknown or duplicate Risk ID",IF(OR(G85="",J85=""),"Approval details missing",IF(OR(NOT(ISNUMBER(L85)),NOT(ISNUMBER(M85))),"Decision or expiry date missing/invalid",IF(OR(L85&lt;=0,L85&gt;Methodology!$B$4,M85&lt;L85),"Invalid decision or expiry date",IF(M85&lt;Methodology!$B$4,"Expired",IF(M85-L85&gt;Methodology!$B$6,"Exceeds maximum acceptance period",IF(O85&lt;&gt;"OK","Authority not sufficient","Eligible"))))))))))</f>
        <v/>
      </c>
    </row>
    <row r="86" spans="1:20" x14ac:dyDescent="0.35">
      <c r="A86" s="35"/>
      <c r="B86" s="35"/>
      <c r="C86" s="44" t="str">
        <f>IF(B86="","",IFERROR(INDEX('Risk Register'!$B$6:$B$105,MATCH(B86,'Risk Register'!$A$6:$A$105,0)),"Unknown Risk ID"))</f>
        <v/>
      </c>
      <c r="D86" s="38" t="str">
        <f>IF(B86="","",IFERROR(INDEX('Risk Register'!$D$6:$D$105,MATCH(B86,'Risk Register'!$A$6:$A$105,0)),""))</f>
        <v/>
      </c>
      <c r="E86" s="37" t="str">
        <f>IF(B86="","",IFERROR(INDEX('Risk Register'!$O$6:$O$105,MATCH(B86,'Risk Register'!$A$6:$A$105,0)),""))</f>
        <v/>
      </c>
      <c r="F86" s="38" t="str">
        <f>IF(B86="","",IFERROR(INDEX('Risk Register'!$U$6:$U$105,MATCH(B86,'Risk Register'!$A$6:$A$105,0)),""))</f>
        <v/>
      </c>
      <c r="G86" s="24"/>
      <c r="H86" s="24"/>
      <c r="I86" s="35"/>
      <c r="J86" s="35"/>
      <c r="K86" s="35"/>
      <c r="L86" s="46"/>
      <c r="M86" s="46"/>
      <c r="N86" s="38" t="str">
        <f>IF(F86="","",IFERROR(INDEX(Methodology!$B$48:$B$50,MATCH(F86,Methodology!$A$48:$A$50,0)),""))</f>
        <v/>
      </c>
      <c r="O86" s="38" t="str">
        <f>IF(OR(I86&lt;&gt;"Approved",F86=""),"",IF(F86="Within appetite","Not in breach",IF(K86="","Authority level not set",IF(IFERROR(MATCH(K86,Methodology!$B$49:$B$50,0),0)&gt;=IFERROR(MATCH(N86,Methodology!$B$49:$B$50,0),99),"OK","Insufficient authority"))))</f>
        <v/>
      </c>
      <c r="P86" s="38" t="str">
        <f>IF(A86="","",IF(I86&lt;&gt;"Approved",IF(I86="","No decision",I86),IF(M86="","Approved - no expiry",IF(M86&lt;Methodology!$B$4,"Expired",IF(M86-Methodology!$B$4&lt;=Methodology!$B$5,"Expiring soon","Active")))))</f>
        <v/>
      </c>
      <c r="Q86" s="37" t="str">
        <f>IF(OR(M86="",I86&lt;&gt;"Approved"),"",M86-Methodology!$B$4)</f>
        <v/>
      </c>
      <c r="R86" s="44" t="str">
        <f>IF(A86="","",IF(AND(I86="Approved",F86="Within appetite"),"Risk now within appetite: acceptance may be unnecessary",IF(AND(I86="Approved",L86&lt;&gt;"",M86&lt;&gt;"",M86-L86&gt;Methodology!$B$6),"Exceeds maximum acceptance period",IF(AND(I86="Approved",J86=""),"Approver not named",""))))</f>
        <v/>
      </c>
      <c r="S86">
        <f>IF(A86="",0,IF(O86&lt;&gt;"Insufficient authority",0,IF(COUNTIFS('Exception Register'!$B$6:$B$45,Checks!$A$11,'Exception Register'!$C$6:$C$45,A86&amp;" ("&amp;B86&amp;")",'Exception Register'!$J$6:$J$45,"Valid")&gt;0,1,0)))</f>
        <v>0</v>
      </c>
      <c r="T86" t="str">
        <f>IF(A86="","",IF(COUNTIF($A$6:$A$105,A86)&gt;1,"Duplicate Acceptance ID",IF(I86&lt;&gt;"Approved","Not approved",IF(OR(B86="",COUNTIF('Risk Register'!$A$6:$A$105,B86)&lt;&gt;1),"Unknown or duplicate Risk ID",IF(OR(G86="",J86=""),"Approval details missing",IF(OR(NOT(ISNUMBER(L86)),NOT(ISNUMBER(M86))),"Decision or expiry date missing/invalid",IF(OR(L86&lt;=0,L86&gt;Methodology!$B$4,M86&lt;L86),"Invalid decision or expiry date",IF(M86&lt;Methodology!$B$4,"Expired",IF(M86-L86&gt;Methodology!$B$6,"Exceeds maximum acceptance period",IF(O86&lt;&gt;"OK","Authority not sufficient","Eligible"))))))))))</f>
        <v/>
      </c>
    </row>
    <row r="87" spans="1:20" x14ac:dyDescent="0.35">
      <c r="A87" s="35"/>
      <c r="B87" s="35"/>
      <c r="C87" s="44" t="str">
        <f>IF(B87="","",IFERROR(INDEX('Risk Register'!$B$6:$B$105,MATCH(B87,'Risk Register'!$A$6:$A$105,0)),"Unknown Risk ID"))</f>
        <v/>
      </c>
      <c r="D87" s="38" t="str">
        <f>IF(B87="","",IFERROR(INDEX('Risk Register'!$D$6:$D$105,MATCH(B87,'Risk Register'!$A$6:$A$105,0)),""))</f>
        <v/>
      </c>
      <c r="E87" s="37" t="str">
        <f>IF(B87="","",IFERROR(INDEX('Risk Register'!$O$6:$O$105,MATCH(B87,'Risk Register'!$A$6:$A$105,0)),""))</f>
        <v/>
      </c>
      <c r="F87" s="38" t="str">
        <f>IF(B87="","",IFERROR(INDEX('Risk Register'!$U$6:$U$105,MATCH(B87,'Risk Register'!$A$6:$A$105,0)),""))</f>
        <v/>
      </c>
      <c r="G87" s="24"/>
      <c r="H87" s="24"/>
      <c r="I87" s="35"/>
      <c r="J87" s="35"/>
      <c r="K87" s="35"/>
      <c r="L87" s="46"/>
      <c r="M87" s="46"/>
      <c r="N87" s="38" t="str">
        <f>IF(F87="","",IFERROR(INDEX(Methodology!$B$48:$B$50,MATCH(F87,Methodology!$A$48:$A$50,0)),""))</f>
        <v/>
      </c>
      <c r="O87" s="38" t="str">
        <f>IF(OR(I87&lt;&gt;"Approved",F87=""),"",IF(F87="Within appetite","Not in breach",IF(K87="","Authority level not set",IF(IFERROR(MATCH(K87,Methodology!$B$49:$B$50,0),0)&gt;=IFERROR(MATCH(N87,Methodology!$B$49:$B$50,0),99),"OK","Insufficient authority"))))</f>
        <v/>
      </c>
      <c r="P87" s="38" t="str">
        <f>IF(A87="","",IF(I87&lt;&gt;"Approved",IF(I87="","No decision",I87),IF(M87="","Approved - no expiry",IF(M87&lt;Methodology!$B$4,"Expired",IF(M87-Methodology!$B$4&lt;=Methodology!$B$5,"Expiring soon","Active")))))</f>
        <v/>
      </c>
      <c r="Q87" s="37" t="str">
        <f>IF(OR(M87="",I87&lt;&gt;"Approved"),"",M87-Methodology!$B$4)</f>
        <v/>
      </c>
      <c r="R87" s="44" t="str">
        <f>IF(A87="","",IF(AND(I87="Approved",F87="Within appetite"),"Risk now within appetite: acceptance may be unnecessary",IF(AND(I87="Approved",L87&lt;&gt;"",M87&lt;&gt;"",M87-L87&gt;Methodology!$B$6),"Exceeds maximum acceptance period",IF(AND(I87="Approved",J87=""),"Approver not named",""))))</f>
        <v/>
      </c>
      <c r="S87">
        <f>IF(A87="",0,IF(O87&lt;&gt;"Insufficient authority",0,IF(COUNTIFS('Exception Register'!$B$6:$B$45,Checks!$A$11,'Exception Register'!$C$6:$C$45,A87&amp;" ("&amp;B87&amp;")",'Exception Register'!$J$6:$J$45,"Valid")&gt;0,1,0)))</f>
        <v>0</v>
      </c>
      <c r="T87" t="str">
        <f>IF(A87="","",IF(COUNTIF($A$6:$A$105,A87)&gt;1,"Duplicate Acceptance ID",IF(I87&lt;&gt;"Approved","Not approved",IF(OR(B87="",COUNTIF('Risk Register'!$A$6:$A$105,B87)&lt;&gt;1),"Unknown or duplicate Risk ID",IF(OR(G87="",J87=""),"Approval details missing",IF(OR(NOT(ISNUMBER(L87)),NOT(ISNUMBER(M87))),"Decision or expiry date missing/invalid",IF(OR(L87&lt;=0,L87&gt;Methodology!$B$4,M87&lt;L87),"Invalid decision or expiry date",IF(M87&lt;Methodology!$B$4,"Expired",IF(M87-L87&gt;Methodology!$B$6,"Exceeds maximum acceptance period",IF(O87&lt;&gt;"OK","Authority not sufficient","Eligible"))))))))))</f>
        <v/>
      </c>
    </row>
    <row r="88" spans="1:20" x14ac:dyDescent="0.35">
      <c r="A88" s="35"/>
      <c r="B88" s="35"/>
      <c r="C88" s="44" t="str">
        <f>IF(B88="","",IFERROR(INDEX('Risk Register'!$B$6:$B$105,MATCH(B88,'Risk Register'!$A$6:$A$105,0)),"Unknown Risk ID"))</f>
        <v/>
      </c>
      <c r="D88" s="38" t="str">
        <f>IF(B88="","",IFERROR(INDEX('Risk Register'!$D$6:$D$105,MATCH(B88,'Risk Register'!$A$6:$A$105,0)),""))</f>
        <v/>
      </c>
      <c r="E88" s="37" t="str">
        <f>IF(B88="","",IFERROR(INDEX('Risk Register'!$O$6:$O$105,MATCH(B88,'Risk Register'!$A$6:$A$105,0)),""))</f>
        <v/>
      </c>
      <c r="F88" s="38" t="str">
        <f>IF(B88="","",IFERROR(INDEX('Risk Register'!$U$6:$U$105,MATCH(B88,'Risk Register'!$A$6:$A$105,0)),""))</f>
        <v/>
      </c>
      <c r="G88" s="24"/>
      <c r="H88" s="24"/>
      <c r="I88" s="35"/>
      <c r="J88" s="35"/>
      <c r="K88" s="35"/>
      <c r="L88" s="46"/>
      <c r="M88" s="46"/>
      <c r="N88" s="38" t="str">
        <f>IF(F88="","",IFERROR(INDEX(Methodology!$B$48:$B$50,MATCH(F88,Methodology!$A$48:$A$50,0)),""))</f>
        <v/>
      </c>
      <c r="O88" s="38" t="str">
        <f>IF(OR(I88&lt;&gt;"Approved",F88=""),"",IF(F88="Within appetite","Not in breach",IF(K88="","Authority level not set",IF(IFERROR(MATCH(K88,Methodology!$B$49:$B$50,0),0)&gt;=IFERROR(MATCH(N88,Methodology!$B$49:$B$50,0),99),"OK","Insufficient authority"))))</f>
        <v/>
      </c>
      <c r="P88" s="38" t="str">
        <f>IF(A88="","",IF(I88&lt;&gt;"Approved",IF(I88="","No decision",I88),IF(M88="","Approved - no expiry",IF(M88&lt;Methodology!$B$4,"Expired",IF(M88-Methodology!$B$4&lt;=Methodology!$B$5,"Expiring soon","Active")))))</f>
        <v/>
      </c>
      <c r="Q88" s="37" t="str">
        <f>IF(OR(M88="",I88&lt;&gt;"Approved"),"",M88-Methodology!$B$4)</f>
        <v/>
      </c>
      <c r="R88" s="44" t="str">
        <f>IF(A88="","",IF(AND(I88="Approved",F88="Within appetite"),"Risk now within appetite: acceptance may be unnecessary",IF(AND(I88="Approved",L88&lt;&gt;"",M88&lt;&gt;"",M88-L88&gt;Methodology!$B$6),"Exceeds maximum acceptance period",IF(AND(I88="Approved",J88=""),"Approver not named",""))))</f>
        <v/>
      </c>
      <c r="S88">
        <f>IF(A88="",0,IF(O88&lt;&gt;"Insufficient authority",0,IF(COUNTIFS('Exception Register'!$B$6:$B$45,Checks!$A$11,'Exception Register'!$C$6:$C$45,A88&amp;" ("&amp;B88&amp;")",'Exception Register'!$J$6:$J$45,"Valid")&gt;0,1,0)))</f>
        <v>0</v>
      </c>
      <c r="T88" t="str">
        <f>IF(A88="","",IF(COUNTIF($A$6:$A$105,A88)&gt;1,"Duplicate Acceptance ID",IF(I88&lt;&gt;"Approved","Not approved",IF(OR(B88="",COUNTIF('Risk Register'!$A$6:$A$105,B88)&lt;&gt;1),"Unknown or duplicate Risk ID",IF(OR(G88="",J88=""),"Approval details missing",IF(OR(NOT(ISNUMBER(L88)),NOT(ISNUMBER(M88))),"Decision or expiry date missing/invalid",IF(OR(L88&lt;=0,L88&gt;Methodology!$B$4,M88&lt;L88),"Invalid decision or expiry date",IF(M88&lt;Methodology!$B$4,"Expired",IF(M88-L88&gt;Methodology!$B$6,"Exceeds maximum acceptance period",IF(O88&lt;&gt;"OK","Authority not sufficient","Eligible"))))))))))</f>
        <v/>
      </c>
    </row>
    <row r="89" spans="1:20" x14ac:dyDescent="0.35">
      <c r="A89" s="35"/>
      <c r="B89" s="35"/>
      <c r="C89" s="44" t="str">
        <f>IF(B89="","",IFERROR(INDEX('Risk Register'!$B$6:$B$105,MATCH(B89,'Risk Register'!$A$6:$A$105,0)),"Unknown Risk ID"))</f>
        <v/>
      </c>
      <c r="D89" s="38" t="str">
        <f>IF(B89="","",IFERROR(INDEX('Risk Register'!$D$6:$D$105,MATCH(B89,'Risk Register'!$A$6:$A$105,0)),""))</f>
        <v/>
      </c>
      <c r="E89" s="37" t="str">
        <f>IF(B89="","",IFERROR(INDEX('Risk Register'!$O$6:$O$105,MATCH(B89,'Risk Register'!$A$6:$A$105,0)),""))</f>
        <v/>
      </c>
      <c r="F89" s="38" t="str">
        <f>IF(B89="","",IFERROR(INDEX('Risk Register'!$U$6:$U$105,MATCH(B89,'Risk Register'!$A$6:$A$105,0)),""))</f>
        <v/>
      </c>
      <c r="G89" s="24"/>
      <c r="H89" s="24"/>
      <c r="I89" s="35"/>
      <c r="J89" s="35"/>
      <c r="K89" s="35"/>
      <c r="L89" s="46"/>
      <c r="M89" s="46"/>
      <c r="N89" s="38" t="str">
        <f>IF(F89="","",IFERROR(INDEX(Methodology!$B$48:$B$50,MATCH(F89,Methodology!$A$48:$A$50,0)),""))</f>
        <v/>
      </c>
      <c r="O89" s="38" t="str">
        <f>IF(OR(I89&lt;&gt;"Approved",F89=""),"",IF(F89="Within appetite","Not in breach",IF(K89="","Authority level not set",IF(IFERROR(MATCH(K89,Methodology!$B$49:$B$50,0),0)&gt;=IFERROR(MATCH(N89,Methodology!$B$49:$B$50,0),99),"OK","Insufficient authority"))))</f>
        <v/>
      </c>
      <c r="P89" s="38" t="str">
        <f>IF(A89="","",IF(I89&lt;&gt;"Approved",IF(I89="","No decision",I89),IF(M89="","Approved - no expiry",IF(M89&lt;Methodology!$B$4,"Expired",IF(M89-Methodology!$B$4&lt;=Methodology!$B$5,"Expiring soon","Active")))))</f>
        <v/>
      </c>
      <c r="Q89" s="37" t="str">
        <f>IF(OR(M89="",I89&lt;&gt;"Approved"),"",M89-Methodology!$B$4)</f>
        <v/>
      </c>
      <c r="R89" s="44" t="str">
        <f>IF(A89="","",IF(AND(I89="Approved",F89="Within appetite"),"Risk now within appetite: acceptance may be unnecessary",IF(AND(I89="Approved",L89&lt;&gt;"",M89&lt;&gt;"",M89-L89&gt;Methodology!$B$6),"Exceeds maximum acceptance period",IF(AND(I89="Approved",J89=""),"Approver not named",""))))</f>
        <v/>
      </c>
      <c r="S89">
        <f>IF(A89="",0,IF(O89&lt;&gt;"Insufficient authority",0,IF(COUNTIFS('Exception Register'!$B$6:$B$45,Checks!$A$11,'Exception Register'!$C$6:$C$45,A89&amp;" ("&amp;B89&amp;")",'Exception Register'!$J$6:$J$45,"Valid")&gt;0,1,0)))</f>
        <v>0</v>
      </c>
      <c r="T89" t="str">
        <f>IF(A89="","",IF(COUNTIF($A$6:$A$105,A89)&gt;1,"Duplicate Acceptance ID",IF(I89&lt;&gt;"Approved","Not approved",IF(OR(B89="",COUNTIF('Risk Register'!$A$6:$A$105,B89)&lt;&gt;1),"Unknown or duplicate Risk ID",IF(OR(G89="",J89=""),"Approval details missing",IF(OR(NOT(ISNUMBER(L89)),NOT(ISNUMBER(M89))),"Decision or expiry date missing/invalid",IF(OR(L89&lt;=0,L89&gt;Methodology!$B$4,M89&lt;L89),"Invalid decision or expiry date",IF(M89&lt;Methodology!$B$4,"Expired",IF(M89-L89&gt;Methodology!$B$6,"Exceeds maximum acceptance period",IF(O89&lt;&gt;"OK","Authority not sufficient","Eligible"))))))))))</f>
        <v/>
      </c>
    </row>
    <row r="90" spans="1:20" x14ac:dyDescent="0.35">
      <c r="A90" s="35"/>
      <c r="B90" s="35"/>
      <c r="C90" s="44" t="str">
        <f>IF(B90="","",IFERROR(INDEX('Risk Register'!$B$6:$B$105,MATCH(B90,'Risk Register'!$A$6:$A$105,0)),"Unknown Risk ID"))</f>
        <v/>
      </c>
      <c r="D90" s="38" t="str">
        <f>IF(B90="","",IFERROR(INDEX('Risk Register'!$D$6:$D$105,MATCH(B90,'Risk Register'!$A$6:$A$105,0)),""))</f>
        <v/>
      </c>
      <c r="E90" s="37" t="str">
        <f>IF(B90="","",IFERROR(INDEX('Risk Register'!$O$6:$O$105,MATCH(B90,'Risk Register'!$A$6:$A$105,0)),""))</f>
        <v/>
      </c>
      <c r="F90" s="38" t="str">
        <f>IF(B90="","",IFERROR(INDEX('Risk Register'!$U$6:$U$105,MATCH(B90,'Risk Register'!$A$6:$A$105,0)),""))</f>
        <v/>
      </c>
      <c r="G90" s="24"/>
      <c r="H90" s="24"/>
      <c r="I90" s="35"/>
      <c r="J90" s="35"/>
      <c r="K90" s="35"/>
      <c r="L90" s="46"/>
      <c r="M90" s="46"/>
      <c r="N90" s="38" t="str">
        <f>IF(F90="","",IFERROR(INDEX(Methodology!$B$48:$B$50,MATCH(F90,Methodology!$A$48:$A$50,0)),""))</f>
        <v/>
      </c>
      <c r="O90" s="38" t="str">
        <f>IF(OR(I90&lt;&gt;"Approved",F90=""),"",IF(F90="Within appetite","Not in breach",IF(K90="","Authority level not set",IF(IFERROR(MATCH(K90,Methodology!$B$49:$B$50,0),0)&gt;=IFERROR(MATCH(N90,Methodology!$B$49:$B$50,0),99),"OK","Insufficient authority"))))</f>
        <v/>
      </c>
      <c r="P90" s="38" t="str">
        <f>IF(A90="","",IF(I90&lt;&gt;"Approved",IF(I90="","No decision",I90),IF(M90="","Approved - no expiry",IF(M90&lt;Methodology!$B$4,"Expired",IF(M90-Methodology!$B$4&lt;=Methodology!$B$5,"Expiring soon","Active")))))</f>
        <v/>
      </c>
      <c r="Q90" s="37" t="str">
        <f>IF(OR(M90="",I90&lt;&gt;"Approved"),"",M90-Methodology!$B$4)</f>
        <v/>
      </c>
      <c r="R90" s="44" t="str">
        <f>IF(A90="","",IF(AND(I90="Approved",F90="Within appetite"),"Risk now within appetite: acceptance may be unnecessary",IF(AND(I90="Approved",L90&lt;&gt;"",M90&lt;&gt;"",M90-L90&gt;Methodology!$B$6),"Exceeds maximum acceptance period",IF(AND(I90="Approved",J90=""),"Approver not named",""))))</f>
        <v/>
      </c>
      <c r="S90">
        <f>IF(A90="",0,IF(O90&lt;&gt;"Insufficient authority",0,IF(COUNTIFS('Exception Register'!$B$6:$B$45,Checks!$A$11,'Exception Register'!$C$6:$C$45,A90&amp;" ("&amp;B90&amp;")",'Exception Register'!$J$6:$J$45,"Valid")&gt;0,1,0)))</f>
        <v>0</v>
      </c>
      <c r="T90" t="str">
        <f>IF(A90="","",IF(COUNTIF($A$6:$A$105,A90)&gt;1,"Duplicate Acceptance ID",IF(I90&lt;&gt;"Approved","Not approved",IF(OR(B90="",COUNTIF('Risk Register'!$A$6:$A$105,B90)&lt;&gt;1),"Unknown or duplicate Risk ID",IF(OR(G90="",J90=""),"Approval details missing",IF(OR(NOT(ISNUMBER(L90)),NOT(ISNUMBER(M90))),"Decision or expiry date missing/invalid",IF(OR(L90&lt;=0,L90&gt;Methodology!$B$4,M90&lt;L90),"Invalid decision or expiry date",IF(M90&lt;Methodology!$B$4,"Expired",IF(M90-L90&gt;Methodology!$B$6,"Exceeds maximum acceptance period",IF(O90&lt;&gt;"OK","Authority not sufficient","Eligible"))))))))))</f>
        <v/>
      </c>
    </row>
    <row r="91" spans="1:20" x14ac:dyDescent="0.35">
      <c r="A91" s="35"/>
      <c r="B91" s="35"/>
      <c r="C91" s="44" t="str">
        <f>IF(B91="","",IFERROR(INDEX('Risk Register'!$B$6:$B$105,MATCH(B91,'Risk Register'!$A$6:$A$105,0)),"Unknown Risk ID"))</f>
        <v/>
      </c>
      <c r="D91" s="38" t="str">
        <f>IF(B91="","",IFERROR(INDEX('Risk Register'!$D$6:$D$105,MATCH(B91,'Risk Register'!$A$6:$A$105,0)),""))</f>
        <v/>
      </c>
      <c r="E91" s="37" t="str">
        <f>IF(B91="","",IFERROR(INDEX('Risk Register'!$O$6:$O$105,MATCH(B91,'Risk Register'!$A$6:$A$105,0)),""))</f>
        <v/>
      </c>
      <c r="F91" s="38" t="str">
        <f>IF(B91="","",IFERROR(INDEX('Risk Register'!$U$6:$U$105,MATCH(B91,'Risk Register'!$A$6:$A$105,0)),""))</f>
        <v/>
      </c>
      <c r="G91" s="24"/>
      <c r="H91" s="24"/>
      <c r="I91" s="35"/>
      <c r="J91" s="35"/>
      <c r="K91" s="35"/>
      <c r="L91" s="46"/>
      <c r="M91" s="46"/>
      <c r="N91" s="38" t="str">
        <f>IF(F91="","",IFERROR(INDEX(Methodology!$B$48:$B$50,MATCH(F91,Methodology!$A$48:$A$50,0)),""))</f>
        <v/>
      </c>
      <c r="O91" s="38" t="str">
        <f>IF(OR(I91&lt;&gt;"Approved",F91=""),"",IF(F91="Within appetite","Not in breach",IF(K91="","Authority level not set",IF(IFERROR(MATCH(K91,Methodology!$B$49:$B$50,0),0)&gt;=IFERROR(MATCH(N91,Methodology!$B$49:$B$50,0),99),"OK","Insufficient authority"))))</f>
        <v/>
      </c>
      <c r="P91" s="38" t="str">
        <f>IF(A91="","",IF(I91&lt;&gt;"Approved",IF(I91="","No decision",I91),IF(M91="","Approved - no expiry",IF(M91&lt;Methodology!$B$4,"Expired",IF(M91-Methodology!$B$4&lt;=Methodology!$B$5,"Expiring soon","Active")))))</f>
        <v/>
      </c>
      <c r="Q91" s="37" t="str">
        <f>IF(OR(M91="",I91&lt;&gt;"Approved"),"",M91-Methodology!$B$4)</f>
        <v/>
      </c>
      <c r="R91" s="44" t="str">
        <f>IF(A91="","",IF(AND(I91="Approved",F91="Within appetite"),"Risk now within appetite: acceptance may be unnecessary",IF(AND(I91="Approved",L91&lt;&gt;"",M91&lt;&gt;"",M91-L91&gt;Methodology!$B$6),"Exceeds maximum acceptance period",IF(AND(I91="Approved",J91=""),"Approver not named",""))))</f>
        <v/>
      </c>
      <c r="S91">
        <f>IF(A91="",0,IF(O91&lt;&gt;"Insufficient authority",0,IF(COUNTIFS('Exception Register'!$B$6:$B$45,Checks!$A$11,'Exception Register'!$C$6:$C$45,A91&amp;" ("&amp;B91&amp;")",'Exception Register'!$J$6:$J$45,"Valid")&gt;0,1,0)))</f>
        <v>0</v>
      </c>
      <c r="T91" t="str">
        <f>IF(A91="","",IF(COUNTIF($A$6:$A$105,A91)&gt;1,"Duplicate Acceptance ID",IF(I91&lt;&gt;"Approved","Not approved",IF(OR(B91="",COUNTIF('Risk Register'!$A$6:$A$105,B91)&lt;&gt;1),"Unknown or duplicate Risk ID",IF(OR(G91="",J91=""),"Approval details missing",IF(OR(NOT(ISNUMBER(L91)),NOT(ISNUMBER(M91))),"Decision or expiry date missing/invalid",IF(OR(L91&lt;=0,L91&gt;Methodology!$B$4,M91&lt;L91),"Invalid decision or expiry date",IF(M91&lt;Methodology!$B$4,"Expired",IF(M91-L91&gt;Methodology!$B$6,"Exceeds maximum acceptance period",IF(O91&lt;&gt;"OK","Authority not sufficient","Eligible"))))))))))</f>
        <v/>
      </c>
    </row>
    <row r="92" spans="1:20" x14ac:dyDescent="0.35">
      <c r="A92" s="35"/>
      <c r="B92" s="35"/>
      <c r="C92" s="44" t="str">
        <f>IF(B92="","",IFERROR(INDEX('Risk Register'!$B$6:$B$105,MATCH(B92,'Risk Register'!$A$6:$A$105,0)),"Unknown Risk ID"))</f>
        <v/>
      </c>
      <c r="D92" s="38" t="str">
        <f>IF(B92="","",IFERROR(INDEX('Risk Register'!$D$6:$D$105,MATCH(B92,'Risk Register'!$A$6:$A$105,0)),""))</f>
        <v/>
      </c>
      <c r="E92" s="37" t="str">
        <f>IF(B92="","",IFERROR(INDEX('Risk Register'!$O$6:$O$105,MATCH(B92,'Risk Register'!$A$6:$A$105,0)),""))</f>
        <v/>
      </c>
      <c r="F92" s="38" t="str">
        <f>IF(B92="","",IFERROR(INDEX('Risk Register'!$U$6:$U$105,MATCH(B92,'Risk Register'!$A$6:$A$105,0)),""))</f>
        <v/>
      </c>
      <c r="G92" s="24"/>
      <c r="H92" s="24"/>
      <c r="I92" s="35"/>
      <c r="J92" s="35"/>
      <c r="K92" s="35"/>
      <c r="L92" s="46"/>
      <c r="M92" s="46"/>
      <c r="N92" s="38" t="str">
        <f>IF(F92="","",IFERROR(INDEX(Methodology!$B$48:$B$50,MATCH(F92,Methodology!$A$48:$A$50,0)),""))</f>
        <v/>
      </c>
      <c r="O92" s="38" t="str">
        <f>IF(OR(I92&lt;&gt;"Approved",F92=""),"",IF(F92="Within appetite","Not in breach",IF(K92="","Authority level not set",IF(IFERROR(MATCH(K92,Methodology!$B$49:$B$50,0),0)&gt;=IFERROR(MATCH(N92,Methodology!$B$49:$B$50,0),99),"OK","Insufficient authority"))))</f>
        <v/>
      </c>
      <c r="P92" s="38" t="str">
        <f>IF(A92="","",IF(I92&lt;&gt;"Approved",IF(I92="","No decision",I92),IF(M92="","Approved - no expiry",IF(M92&lt;Methodology!$B$4,"Expired",IF(M92-Methodology!$B$4&lt;=Methodology!$B$5,"Expiring soon","Active")))))</f>
        <v/>
      </c>
      <c r="Q92" s="37" t="str">
        <f>IF(OR(M92="",I92&lt;&gt;"Approved"),"",M92-Methodology!$B$4)</f>
        <v/>
      </c>
      <c r="R92" s="44" t="str">
        <f>IF(A92="","",IF(AND(I92="Approved",F92="Within appetite"),"Risk now within appetite: acceptance may be unnecessary",IF(AND(I92="Approved",L92&lt;&gt;"",M92&lt;&gt;"",M92-L92&gt;Methodology!$B$6),"Exceeds maximum acceptance period",IF(AND(I92="Approved",J92=""),"Approver not named",""))))</f>
        <v/>
      </c>
      <c r="S92">
        <f>IF(A92="",0,IF(O92&lt;&gt;"Insufficient authority",0,IF(COUNTIFS('Exception Register'!$B$6:$B$45,Checks!$A$11,'Exception Register'!$C$6:$C$45,A92&amp;" ("&amp;B92&amp;")",'Exception Register'!$J$6:$J$45,"Valid")&gt;0,1,0)))</f>
        <v>0</v>
      </c>
      <c r="T92" t="str">
        <f>IF(A92="","",IF(COUNTIF($A$6:$A$105,A92)&gt;1,"Duplicate Acceptance ID",IF(I92&lt;&gt;"Approved","Not approved",IF(OR(B92="",COUNTIF('Risk Register'!$A$6:$A$105,B92)&lt;&gt;1),"Unknown or duplicate Risk ID",IF(OR(G92="",J92=""),"Approval details missing",IF(OR(NOT(ISNUMBER(L92)),NOT(ISNUMBER(M92))),"Decision or expiry date missing/invalid",IF(OR(L92&lt;=0,L92&gt;Methodology!$B$4,M92&lt;L92),"Invalid decision or expiry date",IF(M92&lt;Methodology!$B$4,"Expired",IF(M92-L92&gt;Methodology!$B$6,"Exceeds maximum acceptance period",IF(O92&lt;&gt;"OK","Authority not sufficient","Eligible"))))))))))</f>
        <v/>
      </c>
    </row>
    <row r="93" spans="1:20" x14ac:dyDescent="0.35">
      <c r="A93" s="35"/>
      <c r="B93" s="35"/>
      <c r="C93" s="44" t="str">
        <f>IF(B93="","",IFERROR(INDEX('Risk Register'!$B$6:$B$105,MATCH(B93,'Risk Register'!$A$6:$A$105,0)),"Unknown Risk ID"))</f>
        <v/>
      </c>
      <c r="D93" s="38" t="str">
        <f>IF(B93="","",IFERROR(INDEX('Risk Register'!$D$6:$D$105,MATCH(B93,'Risk Register'!$A$6:$A$105,0)),""))</f>
        <v/>
      </c>
      <c r="E93" s="37" t="str">
        <f>IF(B93="","",IFERROR(INDEX('Risk Register'!$O$6:$O$105,MATCH(B93,'Risk Register'!$A$6:$A$105,0)),""))</f>
        <v/>
      </c>
      <c r="F93" s="38" t="str">
        <f>IF(B93="","",IFERROR(INDEX('Risk Register'!$U$6:$U$105,MATCH(B93,'Risk Register'!$A$6:$A$105,0)),""))</f>
        <v/>
      </c>
      <c r="G93" s="24"/>
      <c r="H93" s="24"/>
      <c r="I93" s="35"/>
      <c r="J93" s="35"/>
      <c r="K93" s="35"/>
      <c r="L93" s="46"/>
      <c r="M93" s="46"/>
      <c r="N93" s="38" t="str">
        <f>IF(F93="","",IFERROR(INDEX(Methodology!$B$48:$B$50,MATCH(F93,Methodology!$A$48:$A$50,0)),""))</f>
        <v/>
      </c>
      <c r="O93" s="38" t="str">
        <f>IF(OR(I93&lt;&gt;"Approved",F93=""),"",IF(F93="Within appetite","Not in breach",IF(K93="","Authority level not set",IF(IFERROR(MATCH(K93,Methodology!$B$49:$B$50,0),0)&gt;=IFERROR(MATCH(N93,Methodology!$B$49:$B$50,0),99),"OK","Insufficient authority"))))</f>
        <v/>
      </c>
      <c r="P93" s="38" t="str">
        <f>IF(A93="","",IF(I93&lt;&gt;"Approved",IF(I93="","No decision",I93),IF(M93="","Approved - no expiry",IF(M93&lt;Methodology!$B$4,"Expired",IF(M93-Methodology!$B$4&lt;=Methodology!$B$5,"Expiring soon","Active")))))</f>
        <v/>
      </c>
      <c r="Q93" s="37" t="str">
        <f>IF(OR(M93="",I93&lt;&gt;"Approved"),"",M93-Methodology!$B$4)</f>
        <v/>
      </c>
      <c r="R93" s="44" t="str">
        <f>IF(A93="","",IF(AND(I93="Approved",F93="Within appetite"),"Risk now within appetite: acceptance may be unnecessary",IF(AND(I93="Approved",L93&lt;&gt;"",M93&lt;&gt;"",M93-L93&gt;Methodology!$B$6),"Exceeds maximum acceptance period",IF(AND(I93="Approved",J93=""),"Approver not named",""))))</f>
        <v/>
      </c>
      <c r="S93">
        <f>IF(A93="",0,IF(O93&lt;&gt;"Insufficient authority",0,IF(COUNTIFS('Exception Register'!$B$6:$B$45,Checks!$A$11,'Exception Register'!$C$6:$C$45,A93&amp;" ("&amp;B93&amp;")",'Exception Register'!$J$6:$J$45,"Valid")&gt;0,1,0)))</f>
        <v>0</v>
      </c>
      <c r="T93" t="str">
        <f>IF(A93="","",IF(COUNTIF($A$6:$A$105,A93)&gt;1,"Duplicate Acceptance ID",IF(I93&lt;&gt;"Approved","Not approved",IF(OR(B93="",COUNTIF('Risk Register'!$A$6:$A$105,B93)&lt;&gt;1),"Unknown or duplicate Risk ID",IF(OR(G93="",J93=""),"Approval details missing",IF(OR(NOT(ISNUMBER(L93)),NOT(ISNUMBER(M93))),"Decision or expiry date missing/invalid",IF(OR(L93&lt;=0,L93&gt;Methodology!$B$4,M93&lt;L93),"Invalid decision or expiry date",IF(M93&lt;Methodology!$B$4,"Expired",IF(M93-L93&gt;Methodology!$B$6,"Exceeds maximum acceptance period",IF(O93&lt;&gt;"OK","Authority not sufficient","Eligible"))))))))))</f>
        <v/>
      </c>
    </row>
    <row r="94" spans="1:20" x14ac:dyDescent="0.35">
      <c r="A94" s="35"/>
      <c r="B94" s="35"/>
      <c r="C94" s="44" t="str">
        <f>IF(B94="","",IFERROR(INDEX('Risk Register'!$B$6:$B$105,MATCH(B94,'Risk Register'!$A$6:$A$105,0)),"Unknown Risk ID"))</f>
        <v/>
      </c>
      <c r="D94" s="38" t="str">
        <f>IF(B94="","",IFERROR(INDEX('Risk Register'!$D$6:$D$105,MATCH(B94,'Risk Register'!$A$6:$A$105,0)),""))</f>
        <v/>
      </c>
      <c r="E94" s="37" t="str">
        <f>IF(B94="","",IFERROR(INDEX('Risk Register'!$O$6:$O$105,MATCH(B94,'Risk Register'!$A$6:$A$105,0)),""))</f>
        <v/>
      </c>
      <c r="F94" s="38" t="str">
        <f>IF(B94="","",IFERROR(INDEX('Risk Register'!$U$6:$U$105,MATCH(B94,'Risk Register'!$A$6:$A$105,0)),""))</f>
        <v/>
      </c>
      <c r="G94" s="24"/>
      <c r="H94" s="24"/>
      <c r="I94" s="35"/>
      <c r="J94" s="35"/>
      <c r="K94" s="35"/>
      <c r="L94" s="46"/>
      <c r="M94" s="46"/>
      <c r="N94" s="38" t="str">
        <f>IF(F94="","",IFERROR(INDEX(Methodology!$B$48:$B$50,MATCH(F94,Methodology!$A$48:$A$50,0)),""))</f>
        <v/>
      </c>
      <c r="O94" s="38" t="str">
        <f>IF(OR(I94&lt;&gt;"Approved",F94=""),"",IF(F94="Within appetite","Not in breach",IF(K94="","Authority level not set",IF(IFERROR(MATCH(K94,Methodology!$B$49:$B$50,0),0)&gt;=IFERROR(MATCH(N94,Methodology!$B$49:$B$50,0),99),"OK","Insufficient authority"))))</f>
        <v/>
      </c>
      <c r="P94" s="38" t="str">
        <f>IF(A94="","",IF(I94&lt;&gt;"Approved",IF(I94="","No decision",I94),IF(M94="","Approved - no expiry",IF(M94&lt;Methodology!$B$4,"Expired",IF(M94-Methodology!$B$4&lt;=Methodology!$B$5,"Expiring soon","Active")))))</f>
        <v/>
      </c>
      <c r="Q94" s="37" t="str">
        <f>IF(OR(M94="",I94&lt;&gt;"Approved"),"",M94-Methodology!$B$4)</f>
        <v/>
      </c>
      <c r="R94" s="44" t="str">
        <f>IF(A94="","",IF(AND(I94="Approved",F94="Within appetite"),"Risk now within appetite: acceptance may be unnecessary",IF(AND(I94="Approved",L94&lt;&gt;"",M94&lt;&gt;"",M94-L94&gt;Methodology!$B$6),"Exceeds maximum acceptance period",IF(AND(I94="Approved",J94=""),"Approver not named",""))))</f>
        <v/>
      </c>
      <c r="S94">
        <f>IF(A94="",0,IF(O94&lt;&gt;"Insufficient authority",0,IF(COUNTIFS('Exception Register'!$B$6:$B$45,Checks!$A$11,'Exception Register'!$C$6:$C$45,A94&amp;" ("&amp;B94&amp;")",'Exception Register'!$J$6:$J$45,"Valid")&gt;0,1,0)))</f>
        <v>0</v>
      </c>
      <c r="T94" t="str">
        <f>IF(A94="","",IF(COUNTIF($A$6:$A$105,A94)&gt;1,"Duplicate Acceptance ID",IF(I94&lt;&gt;"Approved","Not approved",IF(OR(B94="",COUNTIF('Risk Register'!$A$6:$A$105,B94)&lt;&gt;1),"Unknown or duplicate Risk ID",IF(OR(G94="",J94=""),"Approval details missing",IF(OR(NOT(ISNUMBER(L94)),NOT(ISNUMBER(M94))),"Decision or expiry date missing/invalid",IF(OR(L94&lt;=0,L94&gt;Methodology!$B$4,M94&lt;L94),"Invalid decision or expiry date",IF(M94&lt;Methodology!$B$4,"Expired",IF(M94-L94&gt;Methodology!$B$6,"Exceeds maximum acceptance period",IF(O94&lt;&gt;"OK","Authority not sufficient","Eligible"))))))))))</f>
        <v/>
      </c>
    </row>
    <row r="95" spans="1:20" x14ac:dyDescent="0.35">
      <c r="A95" s="35"/>
      <c r="B95" s="35"/>
      <c r="C95" s="44" t="str">
        <f>IF(B95="","",IFERROR(INDEX('Risk Register'!$B$6:$B$105,MATCH(B95,'Risk Register'!$A$6:$A$105,0)),"Unknown Risk ID"))</f>
        <v/>
      </c>
      <c r="D95" s="38" t="str">
        <f>IF(B95="","",IFERROR(INDEX('Risk Register'!$D$6:$D$105,MATCH(B95,'Risk Register'!$A$6:$A$105,0)),""))</f>
        <v/>
      </c>
      <c r="E95" s="37" t="str">
        <f>IF(B95="","",IFERROR(INDEX('Risk Register'!$O$6:$O$105,MATCH(B95,'Risk Register'!$A$6:$A$105,0)),""))</f>
        <v/>
      </c>
      <c r="F95" s="38" t="str">
        <f>IF(B95="","",IFERROR(INDEX('Risk Register'!$U$6:$U$105,MATCH(B95,'Risk Register'!$A$6:$A$105,0)),""))</f>
        <v/>
      </c>
      <c r="G95" s="24"/>
      <c r="H95" s="24"/>
      <c r="I95" s="35"/>
      <c r="J95" s="35"/>
      <c r="K95" s="35"/>
      <c r="L95" s="46"/>
      <c r="M95" s="46"/>
      <c r="N95" s="38" t="str">
        <f>IF(F95="","",IFERROR(INDEX(Methodology!$B$48:$B$50,MATCH(F95,Methodology!$A$48:$A$50,0)),""))</f>
        <v/>
      </c>
      <c r="O95" s="38" t="str">
        <f>IF(OR(I95&lt;&gt;"Approved",F95=""),"",IF(F95="Within appetite","Not in breach",IF(K95="","Authority level not set",IF(IFERROR(MATCH(K95,Methodology!$B$49:$B$50,0),0)&gt;=IFERROR(MATCH(N95,Methodology!$B$49:$B$50,0),99),"OK","Insufficient authority"))))</f>
        <v/>
      </c>
      <c r="P95" s="38" t="str">
        <f>IF(A95="","",IF(I95&lt;&gt;"Approved",IF(I95="","No decision",I95),IF(M95="","Approved - no expiry",IF(M95&lt;Methodology!$B$4,"Expired",IF(M95-Methodology!$B$4&lt;=Methodology!$B$5,"Expiring soon","Active")))))</f>
        <v/>
      </c>
      <c r="Q95" s="37" t="str">
        <f>IF(OR(M95="",I95&lt;&gt;"Approved"),"",M95-Methodology!$B$4)</f>
        <v/>
      </c>
      <c r="R95" s="44" t="str">
        <f>IF(A95="","",IF(AND(I95="Approved",F95="Within appetite"),"Risk now within appetite: acceptance may be unnecessary",IF(AND(I95="Approved",L95&lt;&gt;"",M95&lt;&gt;"",M95-L95&gt;Methodology!$B$6),"Exceeds maximum acceptance period",IF(AND(I95="Approved",J95=""),"Approver not named",""))))</f>
        <v/>
      </c>
      <c r="S95">
        <f>IF(A95="",0,IF(O95&lt;&gt;"Insufficient authority",0,IF(COUNTIFS('Exception Register'!$B$6:$B$45,Checks!$A$11,'Exception Register'!$C$6:$C$45,A95&amp;" ("&amp;B95&amp;")",'Exception Register'!$J$6:$J$45,"Valid")&gt;0,1,0)))</f>
        <v>0</v>
      </c>
      <c r="T95" t="str">
        <f>IF(A95="","",IF(COUNTIF($A$6:$A$105,A95)&gt;1,"Duplicate Acceptance ID",IF(I95&lt;&gt;"Approved","Not approved",IF(OR(B95="",COUNTIF('Risk Register'!$A$6:$A$105,B95)&lt;&gt;1),"Unknown or duplicate Risk ID",IF(OR(G95="",J95=""),"Approval details missing",IF(OR(NOT(ISNUMBER(L95)),NOT(ISNUMBER(M95))),"Decision or expiry date missing/invalid",IF(OR(L95&lt;=0,L95&gt;Methodology!$B$4,M95&lt;L95),"Invalid decision or expiry date",IF(M95&lt;Methodology!$B$4,"Expired",IF(M95-L95&gt;Methodology!$B$6,"Exceeds maximum acceptance period",IF(O95&lt;&gt;"OK","Authority not sufficient","Eligible"))))))))))</f>
        <v/>
      </c>
    </row>
    <row r="96" spans="1:20" x14ac:dyDescent="0.35">
      <c r="A96" s="35"/>
      <c r="B96" s="35"/>
      <c r="C96" s="44" t="str">
        <f>IF(B96="","",IFERROR(INDEX('Risk Register'!$B$6:$B$105,MATCH(B96,'Risk Register'!$A$6:$A$105,0)),"Unknown Risk ID"))</f>
        <v/>
      </c>
      <c r="D96" s="38" t="str">
        <f>IF(B96="","",IFERROR(INDEX('Risk Register'!$D$6:$D$105,MATCH(B96,'Risk Register'!$A$6:$A$105,0)),""))</f>
        <v/>
      </c>
      <c r="E96" s="37" t="str">
        <f>IF(B96="","",IFERROR(INDEX('Risk Register'!$O$6:$O$105,MATCH(B96,'Risk Register'!$A$6:$A$105,0)),""))</f>
        <v/>
      </c>
      <c r="F96" s="38" t="str">
        <f>IF(B96="","",IFERROR(INDEX('Risk Register'!$U$6:$U$105,MATCH(B96,'Risk Register'!$A$6:$A$105,0)),""))</f>
        <v/>
      </c>
      <c r="G96" s="24"/>
      <c r="H96" s="24"/>
      <c r="I96" s="35"/>
      <c r="J96" s="35"/>
      <c r="K96" s="35"/>
      <c r="L96" s="46"/>
      <c r="M96" s="46"/>
      <c r="N96" s="38" t="str">
        <f>IF(F96="","",IFERROR(INDEX(Methodology!$B$48:$B$50,MATCH(F96,Methodology!$A$48:$A$50,0)),""))</f>
        <v/>
      </c>
      <c r="O96" s="38" t="str">
        <f>IF(OR(I96&lt;&gt;"Approved",F96=""),"",IF(F96="Within appetite","Not in breach",IF(K96="","Authority level not set",IF(IFERROR(MATCH(K96,Methodology!$B$49:$B$50,0),0)&gt;=IFERROR(MATCH(N96,Methodology!$B$49:$B$50,0),99),"OK","Insufficient authority"))))</f>
        <v/>
      </c>
      <c r="P96" s="38" t="str">
        <f>IF(A96="","",IF(I96&lt;&gt;"Approved",IF(I96="","No decision",I96),IF(M96="","Approved - no expiry",IF(M96&lt;Methodology!$B$4,"Expired",IF(M96-Methodology!$B$4&lt;=Methodology!$B$5,"Expiring soon","Active")))))</f>
        <v/>
      </c>
      <c r="Q96" s="37" t="str">
        <f>IF(OR(M96="",I96&lt;&gt;"Approved"),"",M96-Methodology!$B$4)</f>
        <v/>
      </c>
      <c r="R96" s="44" t="str">
        <f>IF(A96="","",IF(AND(I96="Approved",F96="Within appetite"),"Risk now within appetite: acceptance may be unnecessary",IF(AND(I96="Approved",L96&lt;&gt;"",M96&lt;&gt;"",M96-L96&gt;Methodology!$B$6),"Exceeds maximum acceptance period",IF(AND(I96="Approved",J96=""),"Approver not named",""))))</f>
        <v/>
      </c>
      <c r="S96">
        <f>IF(A96="",0,IF(O96&lt;&gt;"Insufficient authority",0,IF(COUNTIFS('Exception Register'!$B$6:$B$45,Checks!$A$11,'Exception Register'!$C$6:$C$45,A96&amp;" ("&amp;B96&amp;")",'Exception Register'!$J$6:$J$45,"Valid")&gt;0,1,0)))</f>
        <v>0</v>
      </c>
      <c r="T96" t="str">
        <f>IF(A96="","",IF(COUNTIF($A$6:$A$105,A96)&gt;1,"Duplicate Acceptance ID",IF(I96&lt;&gt;"Approved","Not approved",IF(OR(B96="",COUNTIF('Risk Register'!$A$6:$A$105,B96)&lt;&gt;1),"Unknown or duplicate Risk ID",IF(OR(G96="",J96=""),"Approval details missing",IF(OR(NOT(ISNUMBER(L96)),NOT(ISNUMBER(M96))),"Decision or expiry date missing/invalid",IF(OR(L96&lt;=0,L96&gt;Methodology!$B$4,M96&lt;L96),"Invalid decision or expiry date",IF(M96&lt;Methodology!$B$4,"Expired",IF(M96-L96&gt;Methodology!$B$6,"Exceeds maximum acceptance period",IF(O96&lt;&gt;"OK","Authority not sufficient","Eligible"))))))))))</f>
        <v/>
      </c>
    </row>
    <row r="97" spans="1:20" x14ac:dyDescent="0.35">
      <c r="A97" s="35"/>
      <c r="B97" s="35"/>
      <c r="C97" s="44" t="str">
        <f>IF(B97="","",IFERROR(INDEX('Risk Register'!$B$6:$B$105,MATCH(B97,'Risk Register'!$A$6:$A$105,0)),"Unknown Risk ID"))</f>
        <v/>
      </c>
      <c r="D97" s="38" t="str">
        <f>IF(B97="","",IFERROR(INDEX('Risk Register'!$D$6:$D$105,MATCH(B97,'Risk Register'!$A$6:$A$105,0)),""))</f>
        <v/>
      </c>
      <c r="E97" s="37" t="str">
        <f>IF(B97="","",IFERROR(INDEX('Risk Register'!$O$6:$O$105,MATCH(B97,'Risk Register'!$A$6:$A$105,0)),""))</f>
        <v/>
      </c>
      <c r="F97" s="38" t="str">
        <f>IF(B97="","",IFERROR(INDEX('Risk Register'!$U$6:$U$105,MATCH(B97,'Risk Register'!$A$6:$A$105,0)),""))</f>
        <v/>
      </c>
      <c r="G97" s="24"/>
      <c r="H97" s="24"/>
      <c r="I97" s="35"/>
      <c r="J97" s="35"/>
      <c r="K97" s="35"/>
      <c r="L97" s="46"/>
      <c r="M97" s="46"/>
      <c r="N97" s="38" t="str">
        <f>IF(F97="","",IFERROR(INDEX(Methodology!$B$48:$B$50,MATCH(F97,Methodology!$A$48:$A$50,0)),""))</f>
        <v/>
      </c>
      <c r="O97" s="38" t="str">
        <f>IF(OR(I97&lt;&gt;"Approved",F97=""),"",IF(F97="Within appetite","Not in breach",IF(K97="","Authority level not set",IF(IFERROR(MATCH(K97,Methodology!$B$49:$B$50,0),0)&gt;=IFERROR(MATCH(N97,Methodology!$B$49:$B$50,0),99),"OK","Insufficient authority"))))</f>
        <v/>
      </c>
      <c r="P97" s="38" t="str">
        <f>IF(A97="","",IF(I97&lt;&gt;"Approved",IF(I97="","No decision",I97),IF(M97="","Approved - no expiry",IF(M97&lt;Methodology!$B$4,"Expired",IF(M97-Methodology!$B$4&lt;=Methodology!$B$5,"Expiring soon","Active")))))</f>
        <v/>
      </c>
      <c r="Q97" s="37" t="str">
        <f>IF(OR(M97="",I97&lt;&gt;"Approved"),"",M97-Methodology!$B$4)</f>
        <v/>
      </c>
      <c r="R97" s="44" t="str">
        <f>IF(A97="","",IF(AND(I97="Approved",F97="Within appetite"),"Risk now within appetite: acceptance may be unnecessary",IF(AND(I97="Approved",L97&lt;&gt;"",M97&lt;&gt;"",M97-L97&gt;Methodology!$B$6),"Exceeds maximum acceptance period",IF(AND(I97="Approved",J97=""),"Approver not named",""))))</f>
        <v/>
      </c>
      <c r="S97">
        <f>IF(A97="",0,IF(O97&lt;&gt;"Insufficient authority",0,IF(COUNTIFS('Exception Register'!$B$6:$B$45,Checks!$A$11,'Exception Register'!$C$6:$C$45,A97&amp;" ("&amp;B97&amp;")",'Exception Register'!$J$6:$J$45,"Valid")&gt;0,1,0)))</f>
        <v>0</v>
      </c>
      <c r="T97" t="str">
        <f>IF(A97="","",IF(COUNTIF($A$6:$A$105,A97)&gt;1,"Duplicate Acceptance ID",IF(I97&lt;&gt;"Approved","Not approved",IF(OR(B97="",COUNTIF('Risk Register'!$A$6:$A$105,B97)&lt;&gt;1),"Unknown or duplicate Risk ID",IF(OR(G97="",J97=""),"Approval details missing",IF(OR(NOT(ISNUMBER(L97)),NOT(ISNUMBER(M97))),"Decision or expiry date missing/invalid",IF(OR(L97&lt;=0,L97&gt;Methodology!$B$4,M97&lt;L97),"Invalid decision or expiry date",IF(M97&lt;Methodology!$B$4,"Expired",IF(M97-L97&gt;Methodology!$B$6,"Exceeds maximum acceptance period",IF(O97&lt;&gt;"OK","Authority not sufficient","Eligible"))))))))))</f>
        <v/>
      </c>
    </row>
    <row r="98" spans="1:20" x14ac:dyDescent="0.35">
      <c r="A98" s="35"/>
      <c r="B98" s="35"/>
      <c r="C98" s="44" t="str">
        <f>IF(B98="","",IFERROR(INDEX('Risk Register'!$B$6:$B$105,MATCH(B98,'Risk Register'!$A$6:$A$105,0)),"Unknown Risk ID"))</f>
        <v/>
      </c>
      <c r="D98" s="38" t="str">
        <f>IF(B98="","",IFERROR(INDEX('Risk Register'!$D$6:$D$105,MATCH(B98,'Risk Register'!$A$6:$A$105,0)),""))</f>
        <v/>
      </c>
      <c r="E98" s="37" t="str">
        <f>IF(B98="","",IFERROR(INDEX('Risk Register'!$O$6:$O$105,MATCH(B98,'Risk Register'!$A$6:$A$105,0)),""))</f>
        <v/>
      </c>
      <c r="F98" s="38" t="str">
        <f>IF(B98="","",IFERROR(INDEX('Risk Register'!$U$6:$U$105,MATCH(B98,'Risk Register'!$A$6:$A$105,0)),""))</f>
        <v/>
      </c>
      <c r="G98" s="24"/>
      <c r="H98" s="24"/>
      <c r="I98" s="35"/>
      <c r="J98" s="35"/>
      <c r="K98" s="35"/>
      <c r="L98" s="46"/>
      <c r="M98" s="46"/>
      <c r="N98" s="38" t="str">
        <f>IF(F98="","",IFERROR(INDEX(Methodology!$B$48:$B$50,MATCH(F98,Methodology!$A$48:$A$50,0)),""))</f>
        <v/>
      </c>
      <c r="O98" s="38" t="str">
        <f>IF(OR(I98&lt;&gt;"Approved",F98=""),"",IF(F98="Within appetite","Not in breach",IF(K98="","Authority level not set",IF(IFERROR(MATCH(K98,Methodology!$B$49:$B$50,0),0)&gt;=IFERROR(MATCH(N98,Methodology!$B$49:$B$50,0),99),"OK","Insufficient authority"))))</f>
        <v/>
      </c>
      <c r="P98" s="38" t="str">
        <f>IF(A98="","",IF(I98&lt;&gt;"Approved",IF(I98="","No decision",I98),IF(M98="","Approved - no expiry",IF(M98&lt;Methodology!$B$4,"Expired",IF(M98-Methodology!$B$4&lt;=Methodology!$B$5,"Expiring soon","Active")))))</f>
        <v/>
      </c>
      <c r="Q98" s="37" t="str">
        <f>IF(OR(M98="",I98&lt;&gt;"Approved"),"",M98-Methodology!$B$4)</f>
        <v/>
      </c>
      <c r="R98" s="44" t="str">
        <f>IF(A98="","",IF(AND(I98="Approved",F98="Within appetite"),"Risk now within appetite: acceptance may be unnecessary",IF(AND(I98="Approved",L98&lt;&gt;"",M98&lt;&gt;"",M98-L98&gt;Methodology!$B$6),"Exceeds maximum acceptance period",IF(AND(I98="Approved",J98=""),"Approver not named",""))))</f>
        <v/>
      </c>
      <c r="S98">
        <f>IF(A98="",0,IF(O98&lt;&gt;"Insufficient authority",0,IF(COUNTIFS('Exception Register'!$B$6:$B$45,Checks!$A$11,'Exception Register'!$C$6:$C$45,A98&amp;" ("&amp;B98&amp;")",'Exception Register'!$J$6:$J$45,"Valid")&gt;0,1,0)))</f>
        <v>0</v>
      </c>
      <c r="T98" t="str">
        <f>IF(A98="","",IF(COUNTIF($A$6:$A$105,A98)&gt;1,"Duplicate Acceptance ID",IF(I98&lt;&gt;"Approved","Not approved",IF(OR(B98="",COUNTIF('Risk Register'!$A$6:$A$105,B98)&lt;&gt;1),"Unknown or duplicate Risk ID",IF(OR(G98="",J98=""),"Approval details missing",IF(OR(NOT(ISNUMBER(L98)),NOT(ISNUMBER(M98))),"Decision or expiry date missing/invalid",IF(OR(L98&lt;=0,L98&gt;Methodology!$B$4,M98&lt;L98),"Invalid decision or expiry date",IF(M98&lt;Methodology!$B$4,"Expired",IF(M98-L98&gt;Methodology!$B$6,"Exceeds maximum acceptance period",IF(O98&lt;&gt;"OK","Authority not sufficient","Eligible"))))))))))</f>
        <v/>
      </c>
    </row>
    <row r="99" spans="1:20" x14ac:dyDescent="0.35">
      <c r="A99" s="35"/>
      <c r="B99" s="35"/>
      <c r="C99" s="44" t="str">
        <f>IF(B99="","",IFERROR(INDEX('Risk Register'!$B$6:$B$105,MATCH(B99,'Risk Register'!$A$6:$A$105,0)),"Unknown Risk ID"))</f>
        <v/>
      </c>
      <c r="D99" s="38" t="str">
        <f>IF(B99="","",IFERROR(INDEX('Risk Register'!$D$6:$D$105,MATCH(B99,'Risk Register'!$A$6:$A$105,0)),""))</f>
        <v/>
      </c>
      <c r="E99" s="37" t="str">
        <f>IF(B99="","",IFERROR(INDEX('Risk Register'!$O$6:$O$105,MATCH(B99,'Risk Register'!$A$6:$A$105,0)),""))</f>
        <v/>
      </c>
      <c r="F99" s="38" t="str">
        <f>IF(B99="","",IFERROR(INDEX('Risk Register'!$U$6:$U$105,MATCH(B99,'Risk Register'!$A$6:$A$105,0)),""))</f>
        <v/>
      </c>
      <c r="G99" s="24"/>
      <c r="H99" s="24"/>
      <c r="I99" s="35"/>
      <c r="J99" s="35"/>
      <c r="K99" s="35"/>
      <c r="L99" s="46"/>
      <c r="M99" s="46"/>
      <c r="N99" s="38" t="str">
        <f>IF(F99="","",IFERROR(INDEX(Methodology!$B$48:$B$50,MATCH(F99,Methodology!$A$48:$A$50,0)),""))</f>
        <v/>
      </c>
      <c r="O99" s="38" t="str">
        <f>IF(OR(I99&lt;&gt;"Approved",F99=""),"",IF(F99="Within appetite","Not in breach",IF(K99="","Authority level not set",IF(IFERROR(MATCH(K99,Methodology!$B$49:$B$50,0),0)&gt;=IFERROR(MATCH(N99,Methodology!$B$49:$B$50,0),99),"OK","Insufficient authority"))))</f>
        <v/>
      </c>
      <c r="P99" s="38" t="str">
        <f>IF(A99="","",IF(I99&lt;&gt;"Approved",IF(I99="","No decision",I99),IF(M99="","Approved - no expiry",IF(M99&lt;Methodology!$B$4,"Expired",IF(M99-Methodology!$B$4&lt;=Methodology!$B$5,"Expiring soon","Active")))))</f>
        <v/>
      </c>
      <c r="Q99" s="37" t="str">
        <f>IF(OR(M99="",I99&lt;&gt;"Approved"),"",M99-Methodology!$B$4)</f>
        <v/>
      </c>
      <c r="R99" s="44" t="str">
        <f>IF(A99="","",IF(AND(I99="Approved",F99="Within appetite"),"Risk now within appetite: acceptance may be unnecessary",IF(AND(I99="Approved",L99&lt;&gt;"",M99&lt;&gt;"",M99-L99&gt;Methodology!$B$6),"Exceeds maximum acceptance period",IF(AND(I99="Approved",J99=""),"Approver not named",""))))</f>
        <v/>
      </c>
      <c r="S99">
        <f>IF(A99="",0,IF(O99&lt;&gt;"Insufficient authority",0,IF(COUNTIFS('Exception Register'!$B$6:$B$45,Checks!$A$11,'Exception Register'!$C$6:$C$45,A99&amp;" ("&amp;B99&amp;")",'Exception Register'!$J$6:$J$45,"Valid")&gt;0,1,0)))</f>
        <v>0</v>
      </c>
      <c r="T99" t="str">
        <f>IF(A99="","",IF(COUNTIF($A$6:$A$105,A99)&gt;1,"Duplicate Acceptance ID",IF(I99&lt;&gt;"Approved","Not approved",IF(OR(B99="",COUNTIF('Risk Register'!$A$6:$A$105,B99)&lt;&gt;1),"Unknown or duplicate Risk ID",IF(OR(G99="",J99=""),"Approval details missing",IF(OR(NOT(ISNUMBER(L99)),NOT(ISNUMBER(M99))),"Decision or expiry date missing/invalid",IF(OR(L99&lt;=0,L99&gt;Methodology!$B$4,M99&lt;L99),"Invalid decision or expiry date",IF(M99&lt;Methodology!$B$4,"Expired",IF(M99-L99&gt;Methodology!$B$6,"Exceeds maximum acceptance period",IF(O99&lt;&gt;"OK","Authority not sufficient","Eligible"))))))))))</f>
        <v/>
      </c>
    </row>
    <row r="100" spans="1:20" x14ac:dyDescent="0.35">
      <c r="A100" s="35"/>
      <c r="B100" s="35"/>
      <c r="C100" s="44" t="str">
        <f>IF(B100="","",IFERROR(INDEX('Risk Register'!$B$6:$B$105,MATCH(B100,'Risk Register'!$A$6:$A$105,0)),"Unknown Risk ID"))</f>
        <v/>
      </c>
      <c r="D100" s="38" t="str">
        <f>IF(B100="","",IFERROR(INDEX('Risk Register'!$D$6:$D$105,MATCH(B100,'Risk Register'!$A$6:$A$105,0)),""))</f>
        <v/>
      </c>
      <c r="E100" s="37" t="str">
        <f>IF(B100="","",IFERROR(INDEX('Risk Register'!$O$6:$O$105,MATCH(B100,'Risk Register'!$A$6:$A$105,0)),""))</f>
        <v/>
      </c>
      <c r="F100" s="38" t="str">
        <f>IF(B100="","",IFERROR(INDEX('Risk Register'!$U$6:$U$105,MATCH(B100,'Risk Register'!$A$6:$A$105,0)),""))</f>
        <v/>
      </c>
      <c r="G100" s="24"/>
      <c r="H100" s="24"/>
      <c r="I100" s="35"/>
      <c r="J100" s="35"/>
      <c r="K100" s="35"/>
      <c r="L100" s="46"/>
      <c r="M100" s="46"/>
      <c r="N100" s="38" t="str">
        <f>IF(F100="","",IFERROR(INDEX(Methodology!$B$48:$B$50,MATCH(F100,Methodology!$A$48:$A$50,0)),""))</f>
        <v/>
      </c>
      <c r="O100" s="38" t="str">
        <f>IF(OR(I100&lt;&gt;"Approved",F100=""),"",IF(F100="Within appetite","Not in breach",IF(K100="","Authority level not set",IF(IFERROR(MATCH(K100,Methodology!$B$49:$B$50,0),0)&gt;=IFERROR(MATCH(N100,Methodology!$B$49:$B$50,0),99),"OK","Insufficient authority"))))</f>
        <v/>
      </c>
      <c r="P100" s="38" t="str">
        <f>IF(A100="","",IF(I100&lt;&gt;"Approved",IF(I100="","No decision",I100),IF(M100="","Approved - no expiry",IF(M100&lt;Methodology!$B$4,"Expired",IF(M100-Methodology!$B$4&lt;=Methodology!$B$5,"Expiring soon","Active")))))</f>
        <v/>
      </c>
      <c r="Q100" s="37" t="str">
        <f>IF(OR(M100="",I100&lt;&gt;"Approved"),"",M100-Methodology!$B$4)</f>
        <v/>
      </c>
      <c r="R100" s="44" t="str">
        <f>IF(A100="","",IF(AND(I100="Approved",F100="Within appetite"),"Risk now within appetite: acceptance may be unnecessary",IF(AND(I100="Approved",L100&lt;&gt;"",M100&lt;&gt;"",M100-L100&gt;Methodology!$B$6),"Exceeds maximum acceptance period",IF(AND(I100="Approved",J100=""),"Approver not named",""))))</f>
        <v/>
      </c>
      <c r="S100">
        <f>IF(A100="",0,IF(O100&lt;&gt;"Insufficient authority",0,IF(COUNTIFS('Exception Register'!$B$6:$B$45,Checks!$A$11,'Exception Register'!$C$6:$C$45,A100&amp;" ("&amp;B100&amp;")",'Exception Register'!$J$6:$J$45,"Valid")&gt;0,1,0)))</f>
        <v>0</v>
      </c>
      <c r="T100" t="str">
        <f>IF(A100="","",IF(COUNTIF($A$6:$A$105,A100)&gt;1,"Duplicate Acceptance ID",IF(I100&lt;&gt;"Approved","Not approved",IF(OR(B100="",COUNTIF('Risk Register'!$A$6:$A$105,B100)&lt;&gt;1),"Unknown or duplicate Risk ID",IF(OR(G100="",J100=""),"Approval details missing",IF(OR(NOT(ISNUMBER(L100)),NOT(ISNUMBER(M100))),"Decision or expiry date missing/invalid",IF(OR(L100&lt;=0,L100&gt;Methodology!$B$4,M100&lt;L100),"Invalid decision or expiry date",IF(M100&lt;Methodology!$B$4,"Expired",IF(M100-L100&gt;Methodology!$B$6,"Exceeds maximum acceptance period",IF(O100&lt;&gt;"OK","Authority not sufficient","Eligible"))))))))))</f>
        <v/>
      </c>
    </row>
    <row r="101" spans="1:20" x14ac:dyDescent="0.35">
      <c r="A101" s="35"/>
      <c r="B101" s="35"/>
      <c r="C101" s="44" t="str">
        <f>IF(B101="","",IFERROR(INDEX('Risk Register'!$B$6:$B$105,MATCH(B101,'Risk Register'!$A$6:$A$105,0)),"Unknown Risk ID"))</f>
        <v/>
      </c>
      <c r="D101" s="38" t="str">
        <f>IF(B101="","",IFERROR(INDEX('Risk Register'!$D$6:$D$105,MATCH(B101,'Risk Register'!$A$6:$A$105,0)),""))</f>
        <v/>
      </c>
      <c r="E101" s="37" t="str">
        <f>IF(B101="","",IFERROR(INDEX('Risk Register'!$O$6:$O$105,MATCH(B101,'Risk Register'!$A$6:$A$105,0)),""))</f>
        <v/>
      </c>
      <c r="F101" s="38" t="str">
        <f>IF(B101="","",IFERROR(INDEX('Risk Register'!$U$6:$U$105,MATCH(B101,'Risk Register'!$A$6:$A$105,0)),""))</f>
        <v/>
      </c>
      <c r="G101" s="24"/>
      <c r="H101" s="24"/>
      <c r="I101" s="35"/>
      <c r="J101" s="35"/>
      <c r="K101" s="35"/>
      <c r="L101" s="46"/>
      <c r="M101" s="46"/>
      <c r="N101" s="38" t="str">
        <f>IF(F101="","",IFERROR(INDEX(Methodology!$B$48:$B$50,MATCH(F101,Methodology!$A$48:$A$50,0)),""))</f>
        <v/>
      </c>
      <c r="O101" s="38" t="str">
        <f>IF(OR(I101&lt;&gt;"Approved",F101=""),"",IF(F101="Within appetite","Not in breach",IF(K101="","Authority level not set",IF(IFERROR(MATCH(K101,Methodology!$B$49:$B$50,0),0)&gt;=IFERROR(MATCH(N101,Methodology!$B$49:$B$50,0),99),"OK","Insufficient authority"))))</f>
        <v/>
      </c>
      <c r="P101" s="38" t="str">
        <f>IF(A101="","",IF(I101&lt;&gt;"Approved",IF(I101="","No decision",I101),IF(M101="","Approved - no expiry",IF(M101&lt;Methodology!$B$4,"Expired",IF(M101-Methodology!$B$4&lt;=Methodology!$B$5,"Expiring soon","Active")))))</f>
        <v/>
      </c>
      <c r="Q101" s="37" t="str">
        <f>IF(OR(M101="",I101&lt;&gt;"Approved"),"",M101-Methodology!$B$4)</f>
        <v/>
      </c>
      <c r="R101" s="44" t="str">
        <f>IF(A101="","",IF(AND(I101="Approved",F101="Within appetite"),"Risk now within appetite: acceptance may be unnecessary",IF(AND(I101="Approved",L101&lt;&gt;"",M101&lt;&gt;"",M101-L101&gt;Methodology!$B$6),"Exceeds maximum acceptance period",IF(AND(I101="Approved",J101=""),"Approver not named",""))))</f>
        <v/>
      </c>
      <c r="S101">
        <f>IF(A101="",0,IF(O101&lt;&gt;"Insufficient authority",0,IF(COUNTIFS('Exception Register'!$B$6:$B$45,Checks!$A$11,'Exception Register'!$C$6:$C$45,A101&amp;" ("&amp;B101&amp;")",'Exception Register'!$J$6:$J$45,"Valid")&gt;0,1,0)))</f>
        <v>0</v>
      </c>
      <c r="T101" t="str">
        <f>IF(A101="","",IF(COUNTIF($A$6:$A$105,A101)&gt;1,"Duplicate Acceptance ID",IF(I101&lt;&gt;"Approved","Not approved",IF(OR(B101="",COUNTIF('Risk Register'!$A$6:$A$105,B101)&lt;&gt;1),"Unknown or duplicate Risk ID",IF(OR(G101="",J101=""),"Approval details missing",IF(OR(NOT(ISNUMBER(L101)),NOT(ISNUMBER(M101))),"Decision or expiry date missing/invalid",IF(OR(L101&lt;=0,L101&gt;Methodology!$B$4,M101&lt;L101),"Invalid decision or expiry date",IF(M101&lt;Methodology!$B$4,"Expired",IF(M101-L101&gt;Methodology!$B$6,"Exceeds maximum acceptance period",IF(O101&lt;&gt;"OK","Authority not sufficient","Eligible"))))))))))</f>
        <v/>
      </c>
    </row>
    <row r="102" spans="1:20" x14ac:dyDescent="0.35">
      <c r="A102" s="35"/>
      <c r="B102" s="35"/>
      <c r="C102" s="44" t="str">
        <f>IF(B102="","",IFERROR(INDEX('Risk Register'!$B$6:$B$105,MATCH(B102,'Risk Register'!$A$6:$A$105,0)),"Unknown Risk ID"))</f>
        <v/>
      </c>
      <c r="D102" s="38" t="str">
        <f>IF(B102="","",IFERROR(INDEX('Risk Register'!$D$6:$D$105,MATCH(B102,'Risk Register'!$A$6:$A$105,0)),""))</f>
        <v/>
      </c>
      <c r="E102" s="37" t="str">
        <f>IF(B102="","",IFERROR(INDEX('Risk Register'!$O$6:$O$105,MATCH(B102,'Risk Register'!$A$6:$A$105,0)),""))</f>
        <v/>
      </c>
      <c r="F102" s="38" t="str">
        <f>IF(B102="","",IFERROR(INDEX('Risk Register'!$U$6:$U$105,MATCH(B102,'Risk Register'!$A$6:$A$105,0)),""))</f>
        <v/>
      </c>
      <c r="G102" s="24"/>
      <c r="H102" s="24"/>
      <c r="I102" s="35"/>
      <c r="J102" s="35"/>
      <c r="K102" s="35"/>
      <c r="L102" s="46"/>
      <c r="M102" s="46"/>
      <c r="N102" s="38" t="str">
        <f>IF(F102="","",IFERROR(INDEX(Methodology!$B$48:$B$50,MATCH(F102,Methodology!$A$48:$A$50,0)),""))</f>
        <v/>
      </c>
      <c r="O102" s="38" t="str">
        <f>IF(OR(I102&lt;&gt;"Approved",F102=""),"",IF(F102="Within appetite","Not in breach",IF(K102="","Authority level not set",IF(IFERROR(MATCH(K102,Methodology!$B$49:$B$50,0),0)&gt;=IFERROR(MATCH(N102,Methodology!$B$49:$B$50,0),99),"OK","Insufficient authority"))))</f>
        <v/>
      </c>
      <c r="P102" s="38" t="str">
        <f>IF(A102="","",IF(I102&lt;&gt;"Approved",IF(I102="","No decision",I102),IF(M102="","Approved - no expiry",IF(M102&lt;Methodology!$B$4,"Expired",IF(M102-Methodology!$B$4&lt;=Methodology!$B$5,"Expiring soon","Active")))))</f>
        <v/>
      </c>
      <c r="Q102" s="37" t="str">
        <f>IF(OR(M102="",I102&lt;&gt;"Approved"),"",M102-Methodology!$B$4)</f>
        <v/>
      </c>
      <c r="R102" s="44" t="str">
        <f>IF(A102="","",IF(AND(I102="Approved",F102="Within appetite"),"Risk now within appetite: acceptance may be unnecessary",IF(AND(I102="Approved",L102&lt;&gt;"",M102&lt;&gt;"",M102-L102&gt;Methodology!$B$6),"Exceeds maximum acceptance period",IF(AND(I102="Approved",J102=""),"Approver not named",""))))</f>
        <v/>
      </c>
      <c r="S102">
        <f>IF(A102="",0,IF(O102&lt;&gt;"Insufficient authority",0,IF(COUNTIFS('Exception Register'!$B$6:$B$45,Checks!$A$11,'Exception Register'!$C$6:$C$45,A102&amp;" ("&amp;B102&amp;")",'Exception Register'!$J$6:$J$45,"Valid")&gt;0,1,0)))</f>
        <v>0</v>
      </c>
      <c r="T102" t="str">
        <f>IF(A102="","",IF(COUNTIF($A$6:$A$105,A102)&gt;1,"Duplicate Acceptance ID",IF(I102&lt;&gt;"Approved","Not approved",IF(OR(B102="",COUNTIF('Risk Register'!$A$6:$A$105,B102)&lt;&gt;1),"Unknown or duplicate Risk ID",IF(OR(G102="",J102=""),"Approval details missing",IF(OR(NOT(ISNUMBER(L102)),NOT(ISNUMBER(M102))),"Decision or expiry date missing/invalid",IF(OR(L102&lt;=0,L102&gt;Methodology!$B$4,M102&lt;L102),"Invalid decision or expiry date",IF(M102&lt;Methodology!$B$4,"Expired",IF(M102-L102&gt;Methodology!$B$6,"Exceeds maximum acceptance period",IF(O102&lt;&gt;"OK","Authority not sufficient","Eligible"))))))))))</f>
        <v/>
      </c>
    </row>
    <row r="103" spans="1:20" x14ac:dyDescent="0.35">
      <c r="A103" s="35"/>
      <c r="B103" s="35"/>
      <c r="C103" s="44" t="str">
        <f>IF(B103="","",IFERROR(INDEX('Risk Register'!$B$6:$B$105,MATCH(B103,'Risk Register'!$A$6:$A$105,0)),"Unknown Risk ID"))</f>
        <v/>
      </c>
      <c r="D103" s="38" t="str">
        <f>IF(B103="","",IFERROR(INDEX('Risk Register'!$D$6:$D$105,MATCH(B103,'Risk Register'!$A$6:$A$105,0)),""))</f>
        <v/>
      </c>
      <c r="E103" s="37" t="str">
        <f>IF(B103="","",IFERROR(INDEX('Risk Register'!$O$6:$O$105,MATCH(B103,'Risk Register'!$A$6:$A$105,0)),""))</f>
        <v/>
      </c>
      <c r="F103" s="38" t="str">
        <f>IF(B103="","",IFERROR(INDEX('Risk Register'!$U$6:$U$105,MATCH(B103,'Risk Register'!$A$6:$A$105,0)),""))</f>
        <v/>
      </c>
      <c r="G103" s="24"/>
      <c r="H103" s="24"/>
      <c r="I103" s="35"/>
      <c r="J103" s="35"/>
      <c r="K103" s="35"/>
      <c r="L103" s="46"/>
      <c r="M103" s="46"/>
      <c r="N103" s="38" t="str">
        <f>IF(F103="","",IFERROR(INDEX(Methodology!$B$48:$B$50,MATCH(F103,Methodology!$A$48:$A$50,0)),""))</f>
        <v/>
      </c>
      <c r="O103" s="38" t="str">
        <f>IF(OR(I103&lt;&gt;"Approved",F103=""),"",IF(F103="Within appetite","Not in breach",IF(K103="","Authority level not set",IF(IFERROR(MATCH(K103,Methodology!$B$49:$B$50,0),0)&gt;=IFERROR(MATCH(N103,Methodology!$B$49:$B$50,0),99),"OK","Insufficient authority"))))</f>
        <v/>
      </c>
      <c r="P103" s="38" t="str">
        <f>IF(A103="","",IF(I103&lt;&gt;"Approved",IF(I103="","No decision",I103),IF(M103="","Approved - no expiry",IF(M103&lt;Methodology!$B$4,"Expired",IF(M103-Methodology!$B$4&lt;=Methodology!$B$5,"Expiring soon","Active")))))</f>
        <v/>
      </c>
      <c r="Q103" s="37" t="str">
        <f>IF(OR(M103="",I103&lt;&gt;"Approved"),"",M103-Methodology!$B$4)</f>
        <v/>
      </c>
      <c r="R103" s="44" t="str">
        <f>IF(A103="","",IF(AND(I103="Approved",F103="Within appetite"),"Risk now within appetite: acceptance may be unnecessary",IF(AND(I103="Approved",L103&lt;&gt;"",M103&lt;&gt;"",M103-L103&gt;Methodology!$B$6),"Exceeds maximum acceptance period",IF(AND(I103="Approved",J103=""),"Approver not named",""))))</f>
        <v/>
      </c>
      <c r="S103">
        <f>IF(A103="",0,IF(O103&lt;&gt;"Insufficient authority",0,IF(COUNTIFS('Exception Register'!$B$6:$B$45,Checks!$A$11,'Exception Register'!$C$6:$C$45,A103&amp;" ("&amp;B103&amp;")",'Exception Register'!$J$6:$J$45,"Valid")&gt;0,1,0)))</f>
        <v>0</v>
      </c>
      <c r="T103" t="str">
        <f>IF(A103="","",IF(COUNTIF($A$6:$A$105,A103)&gt;1,"Duplicate Acceptance ID",IF(I103&lt;&gt;"Approved","Not approved",IF(OR(B103="",COUNTIF('Risk Register'!$A$6:$A$105,B103)&lt;&gt;1),"Unknown or duplicate Risk ID",IF(OR(G103="",J103=""),"Approval details missing",IF(OR(NOT(ISNUMBER(L103)),NOT(ISNUMBER(M103))),"Decision or expiry date missing/invalid",IF(OR(L103&lt;=0,L103&gt;Methodology!$B$4,M103&lt;L103),"Invalid decision or expiry date",IF(M103&lt;Methodology!$B$4,"Expired",IF(M103-L103&gt;Methodology!$B$6,"Exceeds maximum acceptance period",IF(O103&lt;&gt;"OK","Authority not sufficient","Eligible"))))))))))</f>
        <v/>
      </c>
    </row>
    <row r="104" spans="1:20" x14ac:dyDescent="0.35">
      <c r="A104" s="35"/>
      <c r="B104" s="35"/>
      <c r="C104" s="44" t="str">
        <f>IF(B104="","",IFERROR(INDEX('Risk Register'!$B$6:$B$105,MATCH(B104,'Risk Register'!$A$6:$A$105,0)),"Unknown Risk ID"))</f>
        <v/>
      </c>
      <c r="D104" s="38" t="str">
        <f>IF(B104="","",IFERROR(INDEX('Risk Register'!$D$6:$D$105,MATCH(B104,'Risk Register'!$A$6:$A$105,0)),""))</f>
        <v/>
      </c>
      <c r="E104" s="37" t="str">
        <f>IF(B104="","",IFERROR(INDEX('Risk Register'!$O$6:$O$105,MATCH(B104,'Risk Register'!$A$6:$A$105,0)),""))</f>
        <v/>
      </c>
      <c r="F104" s="38" t="str">
        <f>IF(B104="","",IFERROR(INDEX('Risk Register'!$U$6:$U$105,MATCH(B104,'Risk Register'!$A$6:$A$105,0)),""))</f>
        <v/>
      </c>
      <c r="G104" s="24"/>
      <c r="H104" s="24"/>
      <c r="I104" s="35"/>
      <c r="J104" s="35"/>
      <c r="K104" s="35"/>
      <c r="L104" s="46"/>
      <c r="M104" s="46"/>
      <c r="N104" s="38" t="str">
        <f>IF(F104="","",IFERROR(INDEX(Methodology!$B$48:$B$50,MATCH(F104,Methodology!$A$48:$A$50,0)),""))</f>
        <v/>
      </c>
      <c r="O104" s="38" t="str">
        <f>IF(OR(I104&lt;&gt;"Approved",F104=""),"",IF(F104="Within appetite","Not in breach",IF(K104="","Authority level not set",IF(IFERROR(MATCH(K104,Methodology!$B$49:$B$50,0),0)&gt;=IFERROR(MATCH(N104,Methodology!$B$49:$B$50,0),99),"OK","Insufficient authority"))))</f>
        <v/>
      </c>
      <c r="P104" s="38" t="str">
        <f>IF(A104="","",IF(I104&lt;&gt;"Approved",IF(I104="","No decision",I104),IF(M104="","Approved - no expiry",IF(M104&lt;Methodology!$B$4,"Expired",IF(M104-Methodology!$B$4&lt;=Methodology!$B$5,"Expiring soon","Active")))))</f>
        <v/>
      </c>
      <c r="Q104" s="37" t="str">
        <f>IF(OR(M104="",I104&lt;&gt;"Approved"),"",M104-Methodology!$B$4)</f>
        <v/>
      </c>
      <c r="R104" s="44" t="str">
        <f>IF(A104="","",IF(AND(I104="Approved",F104="Within appetite"),"Risk now within appetite: acceptance may be unnecessary",IF(AND(I104="Approved",L104&lt;&gt;"",M104&lt;&gt;"",M104-L104&gt;Methodology!$B$6),"Exceeds maximum acceptance period",IF(AND(I104="Approved",J104=""),"Approver not named",""))))</f>
        <v/>
      </c>
      <c r="S104">
        <f>IF(A104="",0,IF(O104&lt;&gt;"Insufficient authority",0,IF(COUNTIFS('Exception Register'!$B$6:$B$45,Checks!$A$11,'Exception Register'!$C$6:$C$45,A104&amp;" ("&amp;B104&amp;")",'Exception Register'!$J$6:$J$45,"Valid")&gt;0,1,0)))</f>
        <v>0</v>
      </c>
      <c r="T104" t="str">
        <f>IF(A104="","",IF(COUNTIF($A$6:$A$105,A104)&gt;1,"Duplicate Acceptance ID",IF(I104&lt;&gt;"Approved","Not approved",IF(OR(B104="",COUNTIF('Risk Register'!$A$6:$A$105,B104)&lt;&gt;1),"Unknown or duplicate Risk ID",IF(OR(G104="",J104=""),"Approval details missing",IF(OR(NOT(ISNUMBER(L104)),NOT(ISNUMBER(M104))),"Decision or expiry date missing/invalid",IF(OR(L104&lt;=0,L104&gt;Methodology!$B$4,M104&lt;L104),"Invalid decision or expiry date",IF(M104&lt;Methodology!$B$4,"Expired",IF(M104-L104&gt;Methodology!$B$6,"Exceeds maximum acceptance period",IF(O104&lt;&gt;"OK","Authority not sufficient","Eligible"))))))))))</f>
        <v/>
      </c>
    </row>
    <row r="105" spans="1:20" x14ac:dyDescent="0.35">
      <c r="A105" s="35"/>
      <c r="B105" s="35"/>
      <c r="C105" s="44" t="str">
        <f>IF(B105="","",IFERROR(INDEX('Risk Register'!$B$6:$B$105,MATCH(B105,'Risk Register'!$A$6:$A$105,0)),"Unknown Risk ID"))</f>
        <v/>
      </c>
      <c r="D105" s="38" t="str">
        <f>IF(B105="","",IFERROR(INDEX('Risk Register'!$D$6:$D$105,MATCH(B105,'Risk Register'!$A$6:$A$105,0)),""))</f>
        <v/>
      </c>
      <c r="E105" s="37" t="str">
        <f>IF(B105="","",IFERROR(INDEX('Risk Register'!$O$6:$O$105,MATCH(B105,'Risk Register'!$A$6:$A$105,0)),""))</f>
        <v/>
      </c>
      <c r="F105" s="38" t="str">
        <f>IF(B105="","",IFERROR(INDEX('Risk Register'!$U$6:$U$105,MATCH(B105,'Risk Register'!$A$6:$A$105,0)),""))</f>
        <v/>
      </c>
      <c r="G105" s="24"/>
      <c r="H105" s="24"/>
      <c r="I105" s="35"/>
      <c r="J105" s="35"/>
      <c r="K105" s="35"/>
      <c r="L105" s="46"/>
      <c r="M105" s="46"/>
      <c r="N105" s="38" t="str">
        <f>IF(F105="","",IFERROR(INDEX(Methodology!$B$48:$B$50,MATCH(F105,Methodology!$A$48:$A$50,0)),""))</f>
        <v/>
      </c>
      <c r="O105" s="38" t="str">
        <f>IF(OR(I105&lt;&gt;"Approved",F105=""),"",IF(F105="Within appetite","Not in breach",IF(K105="","Authority level not set",IF(IFERROR(MATCH(K105,Methodology!$B$49:$B$50,0),0)&gt;=IFERROR(MATCH(N105,Methodology!$B$49:$B$50,0),99),"OK","Insufficient authority"))))</f>
        <v/>
      </c>
      <c r="P105" s="38" t="str">
        <f>IF(A105="","",IF(I105&lt;&gt;"Approved",IF(I105="","No decision",I105),IF(M105="","Approved - no expiry",IF(M105&lt;Methodology!$B$4,"Expired",IF(M105-Methodology!$B$4&lt;=Methodology!$B$5,"Expiring soon","Active")))))</f>
        <v/>
      </c>
      <c r="Q105" s="37" t="str">
        <f>IF(OR(M105="",I105&lt;&gt;"Approved"),"",M105-Methodology!$B$4)</f>
        <v/>
      </c>
      <c r="R105" s="44" t="str">
        <f>IF(A105="","",IF(AND(I105="Approved",F105="Within appetite"),"Risk now within appetite: acceptance may be unnecessary",IF(AND(I105="Approved",L105&lt;&gt;"",M105&lt;&gt;"",M105-L105&gt;Methodology!$B$6),"Exceeds maximum acceptance period",IF(AND(I105="Approved",J105=""),"Approver not named",""))))</f>
        <v/>
      </c>
      <c r="S105">
        <f>IF(A105="",0,IF(O105&lt;&gt;"Insufficient authority",0,IF(COUNTIFS('Exception Register'!$B$6:$B$45,Checks!$A$11,'Exception Register'!$C$6:$C$45,A105&amp;" ("&amp;B105&amp;")",'Exception Register'!$J$6:$J$45,"Valid")&gt;0,1,0)))</f>
        <v>0</v>
      </c>
      <c r="T105" t="str">
        <f>IF(A105="","",IF(COUNTIF($A$6:$A$105,A105)&gt;1,"Duplicate Acceptance ID",IF(I105&lt;&gt;"Approved","Not approved",IF(OR(B105="",COUNTIF('Risk Register'!$A$6:$A$105,B105)&lt;&gt;1),"Unknown or duplicate Risk ID",IF(OR(G105="",J105=""),"Approval details missing",IF(OR(NOT(ISNUMBER(L105)),NOT(ISNUMBER(M105))),"Decision or expiry date missing/invalid",IF(OR(L105&lt;=0,L105&gt;Methodology!$B$4,M105&lt;L105),"Invalid decision or expiry date",IF(M105&lt;Methodology!$B$4,"Expired",IF(M105-L105&gt;Methodology!$B$6,"Exceeds maximum acceptance period",IF(O105&lt;&gt;"OK","Authority not sufficient","Eligible"))))))))))</f>
        <v/>
      </c>
    </row>
  </sheetData>
  <autoFilter ref="A5:T105" xr:uid="{00000000-0001-0000-0700-000000000000}"/>
  <mergeCells count="1">
    <mergeCell ref="A3:T3"/>
  </mergeCells>
  <conditionalFormatting sqref="O6:O105">
    <cfRule type="expression" dxfId="53" priority="2">
      <formula>O6="Insufficient authority"</formula>
    </cfRule>
    <cfRule type="expression" dxfId="52" priority="3">
      <formula>O6="Authority level not set"</formula>
    </cfRule>
    <cfRule type="expression" dxfId="51" priority="4">
      <formula>O6="OK"</formula>
    </cfRule>
  </conditionalFormatting>
  <conditionalFormatting sqref="P6:P105">
    <cfRule type="expression" dxfId="50" priority="5">
      <formula>OR(P6="Expired",P6="Approved - no expiry")</formula>
    </cfRule>
    <cfRule type="expression" dxfId="49" priority="6">
      <formula>P6="Expiring soon"</formula>
    </cfRule>
    <cfRule type="expression" dxfId="48" priority="7">
      <formula>P6="Active"</formula>
    </cfRule>
  </conditionalFormatting>
  <conditionalFormatting sqref="R6:R105">
    <cfRule type="expression" dxfId="47" priority="8">
      <formula>R6&lt;&gt;""</formula>
    </cfRule>
  </conditionalFormatting>
  <dataValidations count="1">
    <dataValidation type="list" allowBlank="1" showErrorMessage="1" sqref="I6:I105" xr:uid="{00000000-0002-0000-0700-000001000000}">
      <formula1>"Pending,Approved,Rejected,Revoked"</formula1>
      <formula2>0</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r:uid="{00000000-0002-0000-0700-000000000000}">
          <x14:formula1>
            <xm:f>'Risk Register'!$A$6:$A$105</xm:f>
          </x14:formula1>
          <x14:formula2>
            <xm:f>0</xm:f>
          </x14:formula2>
          <xm:sqref>B6:B105</xm:sqref>
        </x14:dataValidation>
        <x14:dataValidation type="list" allowBlank="1" showErrorMessage="1" xr:uid="{00000000-0002-0000-0700-000002000000}">
          <x14:formula1>
            <xm:f>Methodology!$B$49:$B$50</xm:f>
          </x14:formula1>
          <x14:formula2>
            <xm:f>0</xm:f>
          </x14:formula2>
          <xm:sqref>K6:K105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548235"/>
  </sheetPr>
  <dimension ref="A1:Y65"/>
  <sheetViews>
    <sheetView showGridLines="0" workbookViewId="0">
      <pane xSplit="2" ySplit="5" topLeftCell="C6" activePane="bottomRight" state="frozen"/>
      <selection pane="topRight"/>
      <selection pane="bottomLeft"/>
      <selection pane="bottomRight" activeCell="C6" sqref="C6"/>
    </sheetView>
  </sheetViews>
  <sheetFormatPr defaultColWidth="8.6328125" defaultRowHeight="14.5" x14ac:dyDescent="0.35"/>
  <cols>
    <col min="1" max="1" width="8" customWidth="1"/>
    <col min="2" max="2" width="34" customWidth="1"/>
    <col min="3" max="3" width="10" customWidth="1"/>
    <col min="4" max="4" width="26" customWidth="1"/>
    <col min="5" max="6" width="22" customWidth="1"/>
    <col min="7" max="7" width="7" customWidth="1"/>
    <col min="8" max="8" width="16" customWidth="1"/>
    <col min="9" max="10" width="9" customWidth="1"/>
    <col min="11" max="11" width="10" customWidth="1"/>
    <col min="12" max="12" width="13" customWidth="1"/>
    <col min="13" max="21" width="10" customWidth="1"/>
    <col min="22" max="23" width="11" customWidth="1"/>
    <col min="24" max="24" width="17" customWidth="1"/>
    <col min="25" max="25" width="40" customWidth="1"/>
  </cols>
  <sheetData>
    <row r="1" spans="1:25" ht="20" x14ac:dyDescent="0.4">
      <c r="A1" s="2" t="s">
        <v>380</v>
      </c>
    </row>
    <row r="2" spans="1:25" x14ac:dyDescent="0.35">
      <c r="A2" s="1" t="s">
        <v>381</v>
      </c>
    </row>
    <row r="3" spans="1:25" x14ac:dyDescent="0.35">
      <c r="A3" s="1" t="s">
        <v>382</v>
      </c>
    </row>
    <row r="4" spans="1:25" x14ac:dyDescent="0.35">
      <c r="L4" s="20" t="s">
        <v>383</v>
      </c>
      <c r="M4" s="33" t="s">
        <v>384</v>
      </c>
      <c r="N4" s="33" t="s">
        <v>385</v>
      </c>
      <c r="O4" s="33" t="s">
        <v>386</v>
      </c>
      <c r="P4" s="33" t="s">
        <v>387</v>
      </c>
      <c r="Q4" s="33" t="s">
        <v>388</v>
      </c>
      <c r="R4" s="33" t="s">
        <v>389</v>
      </c>
    </row>
    <row r="5" spans="1:25" ht="57.75" customHeight="1" x14ac:dyDescent="0.35">
      <c r="A5" s="16" t="s">
        <v>390</v>
      </c>
      <c r="B5" s="16" t="s">
        <v>391</v>
      </c>
      <c r="C5" s="16" t="s">
        <v>392</v>
      </c>
      <c r="D5" s="16" t="s">
        <v>225</v>
      </c>
      <c r="E5" s="16" t="s">
        <v>55</v>
      </c>
      <c r="F5" s="16" t="s">
        <v>393</v>
      </c>
      <c r="G5" s="16" t="s">
        <v>394</v>
      </c>
      <c r="H5" s="16" t="s">
        <v>395</v>
      </c>
      <c r="I5" s="16" t="s">
        <v>396</v>
      </c>
      <c r="J5" s="16" t="s">
        <v>397</v>
      </c>
      <c r="K5" s="16" t="s">
        <v>398</v>
      </c>
      <c r="L5" s="16" t="s">
        <v>399</v>
      </c>
      <c r="M5" s="16" t="s">
        <v>400</v>
      </c>
      <c r="N5" s="16" t="s">
        <v>401</v>
      </c>
      <c r="O5" s="16" t="s">
        <v>402</v>
      </c>
      <c r="P5" s="16" t="s">
        <v>403</v>
      </c>
      <c r="Q5" s="16" t="s">
        <v>404</v>
      </c>
      <c r="R5" s="16" t="s">
        <v>405</v>
      </c>
      <c r="S5" s="16" t="s">
        <v>406</v>
      </c>
      <c r="T5" s="16" t="s">
        <v>407</v>
      </c>
      <c r="U5" s="16" t="s">
        <v>408</v>
      </c>
      <c r="V5" s="16" t="s">
        <v>409</v>
      </c>
      <c r="W5" s="16" t="s">
        <v>410</v>
      </c>
      <c r="X5" s="16" t="s">
        <v>411</v>
      </c>
      <c r="Y5" s="16" t="s">
        <v>412</v>
      </c>
    </row>
    <row r="6" spans="1:25" x14ac:dyDescent="0.35">
      <c r="A6" s="35" t="s">
        <v>413</v>
      </c>
      <c r="B6" s="24" t="s">
        <v>414</v>
      </c>
      <c r="C6" s="35" t="s">
        <v>258</v>
      </c>
      <c r="D6" s="44" t="str">
        <f>IF(C6="","",IFERROR(INDEX('Risk Register'!$B$6:$B$105,MATCH(C6,'Risk Register'!$A$6:$A$105,0)),"Unknown Risk ID"))</f>
        <v>Ransomware on production</v>
      </c>
      <c r="E6" s="38" t="str">
        <f>IF(C6="","",IFERROR(INDEX('Risk Register'!$D$6:$D$105,MATCH(C6,'Risk Register'!$A$6:$A$105,0)),""))</f>
        <v>Cyber &amp; Information Security</v>
      </c>
      <c r="F6" s="35" t="s">
        <v>415</v>
      </c>
      <c r="G6" s="36" t="s">
        <v>416</v>
      </c>
      <c r="H6" s="35" t="s">
        <v>417</v>
      </c>
      <c r="I6" s="36">
        <v>5</v>
      </c>
      <c r="J6" s="36">
        <v>10</v>
      </c>
      <c r="K6" s="36">
        <v>30</v>
      </c>
      <c r="L6" s="46">
        <v>46310</v>
      </c>
      <c r="M6" s="36">
        <v>3</v>
      </c>
      <c r="N6" s="36">
        <v>4</v>
      </c>
      <c r="O6" s="36">
        <v>6</v>
      </c>
      <c r="P6" s="36">
        <v>8</v>
      </c>
      <c r="Q6" s="36">
        <v>9</v>
      </c>
      <c r="R6" s="36">
        <v>11</v>
      </c>
      <c r="S6" s="37">
        <f t="shared" ref="S6:S37" si="0">IF(COUNT(M6:R6)=0,"",INDEX(M6:R6,COUNT(M6:R6)))</f>
        <v>11</v>
      </c>
      <c r="T6" s="37">
        <f t="shared" ref="T6:T37" si="1">IF(COUNT(M6:R6)&lt;2,"",INDEX(M6:R6,COUNT(M6:R6)-1))</f>
        <v>9</v>
      </c>
      <c r="U6" s="37" t="str">
        <f t="shared" ref="U6:U37" si="2">IF(A6="","",IF(S6="","No data",IF(H6="Higher is worse",IF(S6&gt;=J6,"Red",IF(S6&gt;=I6,"Amber","Green")),IF(S6&lt;=J6,"Red",IF(S6&lt;=I6,"Amber","Green")))))</f>
        <v>Red</v>
      </c>
      <c r="V6" s="37" t="str">
        <f t="shared" ref="V6:V37" si="3">IF(OR(S6="",T6=""),"",IF(S6=T6,"Stable",IF((S6&gt;T6)=(H6="Higher is worse"),"Worsening","Improving")))</f>
        <v>Worsening</v>
      </c>
      <c r="W6" s="37" t="str">
        <f ca="1">IF(OR(K6="",L6=""),"",IF(Methodology!$B$4-L6&gt;K6,"Overdue","Current"))</f>
        <v>Current</v>
      </c>
      <c r="X6" s="38" t="str">
        <f ca="1">IF(C6="","",IFERROR(INDEX('Risk Register'!$U$6:$U$105,MATCH(C6,'Risk Register'!$A$6:$A$105,0)),""))</f>
        <v>Tolerance breach</v>
      </c>
      <c r="Y6" s="44" t="str">
        <f t="shared" ref="Y6:Y37" ca="1" si="4">IF(AND(U6="Red",X6="Within appetite"),"Early warning: KRI red while risk is within appetite","")</f>
        <v/>
      </c>
    </row>
    <row r="7" spans="1:25" x14ac:dyDescent="0.35">
      <c r="A7" s="35" t="s">
        <v>418</v>
      </c>
      <c r="B7" s="24" t="s">
        <v>419</v>
      </c>
      <c r="C7" s="35" t="s">
        <v>258</v>
      </c>
      <c r="D7" s="44" t="str">
        <f>IF(C7="","",IFERROR(INDEX('Risk Register'!$B$6:$B$105,MATCH(C7,'Risk Register'!$A$6:$A$105,0)),"Unknown Risk ID"))</f>
        <v>Ransomware on production</v>
      </c>
      <c r="E7" s="38" t="str">
        <f>IF(C7="","",IFERROR(INDEX('Risk Register'!$D$6:$D$105,MATCH(C7,'Risk Register'!$A$6:$A$105,0)),""))</f>
        <v>Cyber &amp; Information Security</v>
      </c>
      <c r="F7" s="35" t="s">
        <v>420</v>
      </c>
      <c r="G7" s="36" t="s">
        <v>421</v>
      </c>
      <c r="H7" s="35" t="s">
        <v>417</v>
      </c>
      <c r="I7" s="36">
        <v>5</v>
      </c>
      <c r="J7" s="36">
        <v>10</v>
      </c>
      <c r="K7" s="36">
        <v>30</v>
      </c>
      <c r="L7" s="46">
        <v>46265</v>
      </c>
      <c r="M7" s="36">
        <v>3</v>
      </c>
      <c r="N7" s="36">
        <v>4</v>
      </c>
      <c r="O7" s="36">
        <v>4</v>
      </c>
      <c r="P7" s="36">
        <v>5</v>
      </c>
      <c r="Q7" s="36">
        <v>6</v>
      </c>
      <c r="R7" s="36">
        <v>6</v>
      </c>
      <c r="S7" s="37">
        <f t="shared" si="0"/>
        <v>6</v>
      </c>
      <c r="T7" s="37">
        <f t="shared" si="1"/>
        <v>6</v>
      </c>
      <c r="U7" s="37" t="str">
        <f t="shared" si="2"/>
        <v>Amber</v>
      </c>
      <c r="V7" s="37" t="str">
        <f t="shared" si="3"/>
        <v>Stable</v>
      </c>
      <c r="W7" s="37" t="str">
        <f ca="1">IF(OR(K7="",L7=""),"",IF(Methodology!$B$4-L7&gt;K7,"Overdue","Current"))</f>
        <v>Overdue</v>
      </c>
      <c r="X7" s="38" t="str">
        <f ca="1">IF(C7="","",IFERROR(INDEX('Risk Register'!$U$6:$U$105,MATCH(C7,'Risk Register'!$A$6:$A$105,0)),""))</f>
        <v>Tolerance breach</v>
      </c>
      <c r="Y7" s="44" t="str">
        <f t="shared" ca="1" si="4"/>
        <v/>
      </c>
    </row>
    <row r="8" spans="1:25" ht="25" x14ac:dyDescent="0.35">
      <c r="A8" s="35" t="s">
        <v>422</v>
      </c>
      <c r="B8" s="24" t="s">
        <v>423</v>
      </c>
      <c r="C8" s="35" t="s">
        <v>264</v>
      </c>
      <c r="D8" s="44" t="str">
        <f>IF(C8="","",IFERROR(INDEX('Risk Register'!$B$6:$B$105,MATCH(C8,'Risk Register'!$A$6:$A$105,0)),"Unknown Risk ID"))</f>
        <v>SaaS provider data breach</v>
      </c>
      <c r="E8" s="38" t="str">
        <f>IF(C8="","",IFERROR(INDEX('Risk Register'!$D$6:$D$105,MATCH(C8,'Risk Register'!$A$6:$A$105,0)),""))</f>
        <v>Third-Party</v>
      </c>
      <c r="F8" s="35" t="s">
        <v>267</v>
      </c>
      <c r="G8" s="36" t="s">
        <v>416</v>
      </c>
      <c r="H8" s="35" t="s">
        <v>417</v>
      </c>
      <c r="I8" s="36">
        <v>10</v>
      </c>
      <c r="J8" s="36">
        <v>20</v>
      </c>
      <c r="K8" s="36">
        <v>30</v>
      </c>
      <c r="L8" s="46">
        <v>46310</v>
      </c>
      <c r="M8" s="36">
        <v>8</v>
      </c>
      <c r="N8" s="36">
        <v>12</v>
      </c>
      <c r="O8" s="36">
        <v>14</v>
      </c>
      <c r="P8" s="36">
        <v>18</v>
      </c>
      <c r="Q8" s="36">
        <v>22</v>
      </c>
      <c r="R8" s="36">
        <v>24</v>
      </c>
      <c r="S8" s="37">
        <f t="shared" si="0"/>
        <v>24</v>
      </c>
      <c r="T8" s="37">
        <f t="shared" si="1"/>
        <v>22</v>
      </c>
      <c r="U8" s="37" t="str">
        <f t="shared" si="2"/>
        <v>Red</v>
      </c>
      <c r="V8" s="37" t="str">
        <f t="shared" si="3"/>
        <v>Worsening</v>
      </c>
      <c r="W8" s="37" t="str">
        <f ca="1">IF(OR(K8="",L8=""),"",IF(Methodology!$B$4-L8&gt;K8,"Overdue","Current"))</f>
        <v>Current</v>
      </c>
      <c r="X8" s="38" t="str">
        <f ca="1">IF(C8="","",IFERROR(INDEX('Risk Register'!$U$6:$U$105,MATCH(C8,'Risk Register'!$A$6:$A$105,0)),""))</f>
        <v>Tolerance breach</v>
      </c>
      <c r="Y8" s="44" t="str">
        <f t="shared" ca="1" si="4"/>
        <v/>
      </c>
    </row>
    <row r="9" spans="1:25" x14ac:dyDescent="0.35">
      <c r="A9" s="35" t="s">
        <v>424</v>
      </c>
      <c r="B9" s="24" t="s">
        <v>425</v>
      </c>
      <c r="C9" s="35" t="s">
        <v>275</v>
      </c>
      <c r="D9" s="44" t="str">
        <f>IF(C9="","",IFERROR(INDEX('Risk Register'!$B$6:$B$105,MATCH(C9,'Risk Register'!$A$6:$A$105,0)),"Unknown Risk ID"))</f>
        <v>Missed regulatory deadlines</v>
      </c>
      <c r="E9" s="38" t="str">
        <f>IF(C9="","",IFERROR(INDEX('Risk Register'!$D$6:$D$105,MATCH(C9,'Risk Register'!$A$6:$A$105,0)),""))</f>
        <v>Compliance &amp; Regulatory</v>
      </c>
      <c r="F9" s="35" t="s">
        <v>278</v>
      </c>
      <c r="G9" s="36" t="s">
        <v>416</v>
      </c>
      <c r="H9" s="35" t="s">
        <v>426</v>
      </c>
      <c r="I9" s="36">
        <v>98</v>
      </c>
      <c r="J9" s="36">
        <v>95</v>
      </c>
      <c r="K9" s="36">
        <v>30</v>
      </c>
      <c r="L9" s="46">
        <v>46310</v>
      </c>
      <c r="M9" s="36">
        <v>99</v>
      </c>
      <c r="N9" s="36">
        <v>99</v>
      </c>
      <c r="O9" s="36">
        <v>98</v>
      </c>
      <c r="P9" s="36">
        <v>97</v>
      </c>
      <c r="Q9" s="36">
        <v>96</v>
      </c>
      <c r="R9" s="36">
        <v>96</v>
      </c>
      <c r="S9" s="37">
        <f t="shared" si="0"/>
        <v>96</v>
      </c>
      <c r="T9" s="37">
        <f t="shared" si="1"/>
        <v>96</v>
      </c>
      <c r="U9" s="37" t="str">
        <f t="shared" si="2"/>
        <v>Amber</v>
      </c>
      <c r="V9" s="37" t="str">
        <f t="shared" si="3"/>
        <v>Stable</v>
      </c>
      <c r="W9" s="37" t="str">
        <f ca="1">IF(OR(K9="",L9=""),"",IF(Methodology!$B$4-L9&gt;K9,"Overdue","Current"))</f>
        <v>Current</v>
      </c>
      <c r="X9" s="38" t="str">
        <f ca="1">IF(C9="","",IFERROR(INDEX('Risk Register'!$U$6:$U$105,MATCH(C9,'Risk Register'!$A$6:$A$105,0)),""))</f>
        <v>Appetite breach</v>
      </c>
      <c r="Y9" s="44" t="str">
        <f t="shared" ca="1" si="4"/>
        <v/>
      </c>
    </row>
    <row r="10" spans="1:25" ht="25" x14ac:dyDescent="0.35">
      <c r="A10" s="35" t="s">
        <v>427</v>
      </c>
      <c r="B10" s="24" t="s">
        <v>428</v>
      </c>
      <c r="C10" s="35" t="s">
        <v>281</v>
      </c>
      <c r="D10" s="44" t="str">
        <f>IF(C10="","",IFERROR(INDEX('Risk Register'!$B$6:$B$105,MATCH(C10,'Risk Register'!$A$6:$A$105,0)),"Unknown Risk ID"))</f>
        <v>Key-person dependency</v>
      </c>
      <c r="E10" s="38" t="str">
        <f>IF(C10="","",IFERROR(INDEX('Risk Register'!$D$6:$D$105,MATCH(C10,'Risk Register'!$A$6:$A$105,0)),""))</f>
        <v>People</v>
      </c>
      <c r="F10" s="35" t="s">
        <v>284</v>
      </c>
      <c r="G10" s="36" t="s">
        <v>416</v>
      </c>
      <c r="H10" s="35" t="s">
        <v>417</v>
      </c>
      <c r="I10" s="36">
        <v>10</v>
      </c>
      <c r="J10" s="36">
        <v>15</v>
      </c>
      <c r="K10" s="36">
        <v>30</v>
      </c>
      <c r="L10" s="46">
        <v>46310</v>
      </c>
      <c r="M10" s="36">
        <v>6</v>
      </c>
      <c r="N10" s="36">
        <v>7</v>
      </c>
      <c r="O10" s="36">
        <v>9</v>
      </c>
      <c r="P10" s="36">
        <v>12</v>
      </c>
      <c r="Q10" s="36">
        <v>14</v>
      </c>
      <c r="R10" s="36">
        <v>16</v>
      </c>
      <c r="S10" s="37">
        <f t="shared" si="0"/>
        <v>16</v>
      </c>
      <c r="T10" s="37">
        <f t="shared" si="1"/>
        <v>14</v>
      </c>
      <c r="U10" s="37" t="str">
        <f t="shared" si="2"/>
        <v>Red</v>
      </c>
      <c r="V10" s="37" t="str">
        <f t="shared" si="3"/>
        <v>Worsening</v>
      </c>
      <c r="W10" s="37" t="str">
        <f ca="1">IF(OR(K10="",L10=""),"",IF(Methodology!$B$4-L10&gt;K10,"Overdue","Current"))</f>
        <v>Current</v>
      </c>
      <c r="X10" s="38" t="str">
        <f ca="1">IF(C10="","",IFERROR(INDEX('Risk Register'!$U$6:$U$105,MATCH(C10,'Risk Register'!$A$6:$A$105,0)),""))</f>
        <v>Within appetite</v>
      </c>
      <c r="Y10" s="44" t="str">
        <f t="shared" ca="1" si="4"/>
        <v>Early warning: KRI red while risk is within appetite</v>
      </c>
    </row>
    <row r="11" spans="1:25" x14ac:dyDescent="0.35">
      <c r="A11" s="35" t="s">
        <v>429</v>
      </c>
      <c r="B11" s="24" t="s">
        <v>430</v>
      </c>
      <c r="C11" s="35" t="s">
        <v>299</v>
      </c>
      <c r="D11" s="44" t="str">
        <f>IF(C11="","",IFERROR(INDEX('Risk Register'!$B$6:$B$105,MATCH(C11,'Risk Register'!$A$6:$A$105,0)),"Unknown Risk ID"))</f>
        <v>Loss of anchor customer</v>
      </c>
      <c r="E11" s="38" t="str">
        <f>IF(C11="","",IFERROR(INDEX('Risk Register'!$D$6:$D$105,MATCH(C11,'Risk Register'!$A$6:$A$105,0)),""))</f>
        <v>Strategic</v>
      </c>
      <c r="F11" s="35" t="s">
        <v>296</v>
      </c>
      <c r="G11" s="36" t="s">
        <v>416</v>
      </c>
      <c r="H11" s="35" t="s">
        <v>417</v>
      </c>
      <c r="I11" s="36">
        <v>15</v>
      </c>
      <c r="J11" s="36">
        <v>25</v>
      </c>
      <c r="K11" s="36">
        <v>90</v>
      </c>
      <c r="L11" s="46">
        <v>46296</v>
      </c>
      <c r="M11" s="36"/>
      <c r="N11" s="36">
        <v>17</v>
      </c>
      <c r="O11" s="36">
        <v>17</v>
      </c>
      <c r="P11" s="36">
        <v>18</v>
      </c>
      <c r="Q11" s="36">
        <v>18</v>
      </c>
      <c r="R11" s="36">
        <v>18</v>
      </c>
      <c r="S11" s="37">
        <f t="shared" si="0"/>
        <v>18</v>
      </c>
      <c r="T11" s="37">
        <f t="shared" si="1"/>
        <v>18</v>
      </c>
      <c r="U11" s="37" t="str">
        <f t="shared" si="2"/>
        <v>Amber</v>
      </c>
      <c r="V11" s="37" t="str">
        <f t="shared" si="3"/>
        <v>Stable</v>
      </c>
      <c r="W11" s="37" t="str">
        <f ca="1">IF(OR(K11="",L11=""),"",IF(Methodology!$B$4-L11&gt;K11,"Overdue","Current"))</f>
        <v>Current</v>
      </c>
      <c r="X11" s="38" t="str">
        <f ca="1">IF(C11="","",IFERROR(INDEX('Risk Register'!$U$6:$U$105,MATCH(C11,'Risk Register'!$A$6:$A$105,0)),""))</f>
        <v>Within appetite</v>
      </c>
      <c r="Y11" s="44" t="str">
        <f t="shared" ca="1" si="4"/>
        <v/>
      </c>
    </row>
    <row r="12" spans="1:25" x14ac:dyDescent="0.35">
      <c r="A12" s="35"/>
      <c r="B12" s="24"/>
      <c r="C12" s="35"/>
      <c r="D12" s="44" t="str">
        <f>IF(C12="","",IFERROR(INDEX('Risk Register'!$B$6:$B$105,MATCH(C12,'Risk Register'!$A$6:$A$105,0)),"Unknown Risk ID"))</f>
        <v/>
      </c>
      <c r="E12" s="38" t="str">
        <f>IF(C12="","",IFERROR(INDEX('Risk Register'!$D$6:$D$105,MATCH(C12,'Risk Register'!$A$6:$A$105,0)),""))</f>
        <v/>
      </c>
      <c r="F12" s="35"/>
      <c r="G12" s="36"/>
      <c r="H12" s="35"/>
      <c r="I12" s="36"/>
      <c r="J12" s="36"/>
      <c r="K12" s="36"/>
      <c r="L12" s="46"/>
      <c r="M12" s="36"/>
      <c r="N12" s="36"/>
      <c r="O12" s="36"/>
      <c r="P12" s="36"/>
      <c r="Q12" s="36"/>
      <c r="R12" s="36"/>
      <c r="S12" s="37" t="str">
        <f t="shared" si="0"/>
        <v/>
      </c>
      <c r="T12" s="37" t="str">
        <f t="shared" si="1"/>
        <v/>
      </c>
      <c r="U12" s="37" t="str">
        <f t="shared" si="2"/>
        <v/>
      </c>
      <c r="V12" s="37" t="str">
        <f t="shared" si="3"/>
        <v/>
      </c>
      <c r="W12" s="37" t="str">
        <f>IF(OR(K12="",L12=""),"",IF(Methodology!$B$4-L12&gt;K12,"Overdue","Current"))</f>
        <v/>
      </c>
      <c r="X12" s="38" t="str">
        <f>IF(C12="","",IFERROR(INDEX('Risk Register'!$U$6:$U$105,MATCH(C12,'Risk Register'!$A$6:$A$105,0)),""))</f>
        <v/>
      </c>
      <c r="Y12" s="44" t="str">
        <f t="shared" si="4"/>
        <v/>
      </c>
    </row>
    <row r="13" spans="1:25" x14ac:dyDescent="0.35">
      <c r="A13" s="35"/>
      <c r="B13" s="24"/>
      <c r="C13" s="35"/>
      <c r="D13" s="44" t="str">
        <f>IF(C13="","",IFERROR(INDEX('Risk Register'!$B$6:$B$105,MATCH(C13,'Risk Register'!$A$6:$A$105,0)),"Unknown Risk ID"))</f>
        <v/>
      </c>
      <c r="E13" s="38" t="str">
        <f>IF(C13="","",IFERROR(INDEX('Risk Register'!$D$6:$D$105,MATCH(C13,'Risk Register'!$A$6:$A$105,0)),""))</f>
        <v/>
      </c>
      <c r="F13" s="35"/>
      <c r="G13" s="36"/>
      <c r="H13" s="35"/>
      <c r="I13" s="36"/>
      <c r="J13" s="36"/>
      <c r="K13" s="36"/>
      <c r="L13" s="46"/>
      <c r="M13" s="36"/>
      <c r="N13" s="36"/>
      <c r="O13" s="36"/>
      <c r="P13" s="36"/>
      <c r="Q13" s="36"/>
      <c r="R13" s="36"/>
      <c r="S13" s="37" t="str">
        <f t="shared" si="0"/>
        <v/>
      </c>
      <c r="T13" s="37" t="str">
        <f t="shared" si="1"/>
        <v/>
      </c>
      <c r="U13" s="37" t="str">
        <f t="shared" si="2"/>
        <v/>
      </c>
      <c r="V13" s="37" t="str">
        <f t="shared" si="3"/>
        <v/>
      </c>
      <c r="W13" s="37" t="str">
        <f>IF(OR(K13="",L13=""),"",IF(Methodology!$B$4-L13&gt;K13,"Overdue","Current"))</f>
        <v/>
      </c>
      <c r="X13" s="38" t="str">
        <f>IF(C13="","",IFERROR(INDEX('Risk Register'!$U$6:$U$105,MATCH(C13,'Risk Register'!$A$6:$A$105,0)),""))</f>
        <v/>
      </c>
      <c r="Y13" s="44" t="str">
        <f t="shared" si="4"/>
        <v/>
      </c>
    </row>
    <row r="14" spans="1:25" x14ac:dyDescent="0.35">
      <c r="A14" s="35"/>
      <c r="B14" s="24"/>
      <c r="C14" s="35"/>
      <c r="D14" s="44" t="str">
        <f>IF(C14="","",IFERROR(INDEX('Risk Register'!$B$6:$B$105,MATCH(C14,'Risk Register'!$A$6:$A$105,0)),"Unknown Risk ID"))</f>
        <v/>
      </c>
      <c r="E14" s="38" t="str">
        <f>IF(C14="","",IFERROR(INDEX('Risk Register'!$D$6:$D$105,MATCH(C14,'Risk Register'!$A$6:$A$105,0)),""))</f>
        <v/>
      </c>
      <c r="F14" s="35"/>
      <c r="G14" s="36"/>
      <c r="H14" s="35"/>
      <c r="I14" s="36"/>
      <c r="J14" s="36"/>
      <c r="K14" s="36"/>
      <c r="L14" s="46"/>
      <c r="M14" s="36"/>
      <c r="N14" s="36"/>
      <c r="O14" s="36"/>
      <c r="P14" s="36"/>
      <c r="Q14" s="36"/>
      <c r="R14" s="36"/>
      <c r="S14" s="37" t="str">
        <f t="shared" si="0"/>
        <v/>
      </c>
      <c r="T14" s="37" t="str">
        <f t="shared" si="1"/>
        <v/>
      </c>
      <c r="U14" s="37" t="str">
        <f t="shared" si="2"/>
        <v/>
      </c>
      <c r="V14" s="37" t="str">
        <f t="shared" si="3"/>
        <v/>
      </c>
      <c r="W14" s="37" t="str">
        <f>IF(OR(K14="",L14=""),"",IF(Methodology!$B$4-L14&gt;K14,"Overdue","Current"))</f>
        <v/>
      </c>
      <c r="X14" s="38" t="str">
        <f>IF(C14="","",IFERROR(INDEX('Risk Register'!$U$6:$U$105,MATCH(C14,'Risk Register'!$A$6:$A$105,0)),""))</f>
        <v/>
      </c>
      <c r="Y14" s="44" t="str">
        <f t="shared" si="4"/>
        <v/>
      </c>
    </row>
    <row r="15" spans="1:25" x14ac:dyDescent="0.35">
      <c r="A15" s="35"/>
      <c r="B15" s="24"/>
      <c r="C15" s="35"/>
      <c r="D15" s="44" t="str">
        <f>IF(C15="","",IFERROR(INDEX('Risk Register'!$B$6:$B$105,MATCH(C15,'Risk Register'!$A$6:$A$105,0)),"Unknown Risk ID"))</f>
        <v/>
      </c>
      <c r="E15" s="38" t="str">
        <f>IF(C15="","",IFERROR(INDEX('Risk Register'!$D$6:$D$105,MATCH(C15,'Risk Register'!$A$6:$A$105,0)),""))</f>
        <v/>
      </c>
      <c r="F15" s="35"/>
      <c r="G15" s="36"/>
      <c r="H15" s="35"/>
      <c r="I15" s="36"/>
      <c r="J15" s="36"/>
      <c r="K15" s="36"/>
      <c r="L15" s="46"/>
      <c r="M15" s="36"/>
      <c r="N15" s="36"/>
      <c r="O15" s="36"/>
      <c r="P15" s="36"/>
      <c r="Q15" s="36"/>
      <c r="R15" s="36"/>
      <c r="S15" s="37" t="str">
        <f t="shared" si="0"/>
        <v/>
      </c>
      <c r="T15" s="37" t="str">
        <f t="shared" si="1"/>
        <v/>
      </c>
      <c r="U15" s="37" t="str">
        <f t="shared" si="2"/>
        <v/>
      </c>
      <c r="V15" s="37" t="str">
        <f t="shared" si="3"/>
        <v/>
      </c>
      <c r="W15" s="37" t="str">
        <f>IF(OR(K15="",L15=""),"",IF(Methodology!$B$4-L15&gt;K15,"Overdue","Current"))</f>
        <v/>
      </c>
      <c r="X15" s="38" t="str">
        <f>IF(C15="","",IFERROR(INDEX('Risk Register'!$U$6:$U$105,MATCH(C15,'Risk Register'!$A$6:$A$105,0)),""))</f>
        <v/>
      </c>
      <c r="Y15" s="44" t="str">
        <f t="shared" si="4"/>
        <v/>
      </c>
    </row>
    <row r="16" spans="1:25" x14ac:dyDescent="0.35">
      <c r="A16" s="35"/>
      <c r="B16" s="24"/>
      <c r="C16" s="35"/>
      <c r="D16" s="44" t="str">
        <f>IF(C16="","",IFERROR(INDEX('Risk Register'!$B$6:$B$105,MATCH(C16,'Risk Register'!$A$6:$A$105,0)),"Unknown Risk ID"))</f>
        <v/>
      </c>
      <c r="E16" s="38" t="str">
        <f>IF(C16="","",IFERROR(INDEX('Risk Register'!$D$6:$D$105,MATCH(C16,'Risk Register'!$A$6:$A$105,0)),""))</f>
        <v/>
      </c>
      <c r="F16" s="35"/>
      <c r="G16" s="36"/>
      <c r="H16" s="35"/>
      <c r="I16" s="36"/>
      <c r="J16" s="36"/>
      <c r="K16" s="36"/>
      <c r="L16" s="46"/>
      <c r="M16" s="36"/>
      <c r="N16" s="36"/>
      <c r="O16" s="36"/>
      <c r="P16" s="36"/>
      <c r="Q16" s="36"/>
      <c r="R16" s="36"/>
      <c r="S16" s="37" t="str">
        <f t="shared" si="0"/>
        <v/>
      </c>
      <c r="T16" s="37" t="str">
        <f t="shared" si="1"/>
        <v/>
      </c>
      <c r="U16" s="37" t="str">
        <f t="shared" si="2"/>
        <v/>
      </c>
      <c r="V16" s="37" t="str">
        <f t="shared" si="3"/>
        <v/>
      </c>
      <c r="W16" s="37" t="str">
        <f>IF(OR(K16="",L16=""),"",IF(Methodology!$B$4-L16&gt;K16,"Overdue","Current"))</f>
        <v/>
      </c>
      <c r="X16" s="38" t="str">
        <f>IF(C16="","",IFERROR(INDEX('Risk Register'!$U$6:$U$105,MATCH(C16,'Risk Register'!$A$6:$A$105,0)),""))</f>
        <v/>
      </c>
      <c r="Y16" s="44" t="str">
        <f t="shared" si="4"/>
        <v/>
      </c>
    </row>
    <row r="17" spans="1:25" x14ac:dyDescent="0.35">
      <c r="A17" s="35"/>
      <c r="B17" s="24"/>
      <c r="C17" s="35"/>
      <c r="D17" s="44" t="str">
        <f>IF(C17="","",IFERROR(INDEX('Risk Register'!$B$6:$B$105,MATCH(C17,'Risk Register'!$A$6:$A$105,0)),"Unknown Risk ID"))</f>
        <v/>
      </c>
      <c r="E17" s="38" t="str">
        <f>IF(C17="","",IFERROR(INDEX('Risk Register'!$D$6:$D$105,MATCH(C17,'Risk Register'!$A$6:$A$105,0)),""))</f>
        <v/>
      </c>
      <c r="F17" s="35"/>
      <c r="G17" s="36"/>
      <c r="H17" s="35"/>
      <c r="I17" s="36"/>
      <c r="J17" s="36"/>
      <c r="K17" s="36"/>
      <c r="L17" s="46"/>
      <c r="M17" s="36"/>
      <c r="N17" s="36"/>
      <c r="O17" s="36"/>
      <c r="P17" s="36"/>
      <c r="Q17" s="36"/>
      <c r="R17" s="36"/>
      <c r="S17" s="37" t="str">
        <f t="shared" si="0"/>
        <v/>
      </c>
      <c r="T17" s="37" t="str">
        <f t="shared" si="1"/>
        <v/>
      </c>
      <c r="U17" s="37" t="str">
        <f t="shared" si="2"/>
        <v/>
      </c>
      <c r="V17" s="37" t="str">
        <f t="shared" si="3"/>
        <v/>
      </c>
      <c r="W17" s="37" t="str">
        <f>IF(OR(K17="",L17=""),"",IF(Methodology!$B$4-L17&gt;K17,"Overdue","Current"))</f>
        <v/>
      </c>
      <c r="X17" s="38" t="str">
        <f>IF(C17="","",IFERROR(INDEX('Risk Register'!$U$6:$U$105,MATCH(C17,'Risk Register'!$A$6:$A$105,0)),""))</f>
        <v/>
      </c>
      <c r="Y17" s="44" t="str">
        <f t="shared" si="4"/>
        <v/>
      </c>
    </row>
    <row r="18" spans="1:25" x14ac:dyDescent="0.35">
      <c r="A18" s="35"/>
      <c r="B18" s="24"/>
      <c r="C18" s="35"/>
      <c r="D18" s="44" t="str">
        <f>IF(C18="","",IFERROR(INDEX('Risk Register'!$B$6:$B$105,MATCH(C18,'Risk Register'!$A$6:$A$105,0)),"Unknown Risk ID"))</f>
        <v/>
      </c>
      <c r="E18" s="38" t="str">
        <f>IF(C18="","",IFERROR(INDEX('Risk Register'!$D$6:$D$105,MATCH(C18,'Risk Register'!$A$6:$A$105,0)),""))</f>
        <v/>
      </c>
      <c r="F18" s="35"/>
      <c r="G18" s="36"/>
      <c r="H18" s="35"/>
      <c r="I18" s="36"/>
      <c r="J18" s="36"/>
      <c r="K18" s="36"/>
      <c r="L18" s="46"/>
      <c r="M18" s="36"/>
      <c r="N18" s="36"/>
      <c r="O18" s="36"/>
      <c r="P18" s="36"/>
      <c r="Q18" s="36"/>
      <c r="R18" s="36"/>
      <c r="S18" s="37" t="str">
        <f t="shared" si="0"/>
        <v/>
      </c>
      <c r="T18" s="37" t="str">
        <f t="shared" si="1"/>
        <v/>
      </c>
      <c r="U18" s="37" t="str">
        <f t="shared" si="2"/>
        <v/>
      </c>
      <c r="V18" s="37" t="str">
        <f t="shared" si="3"/>
        <v/>
      </c>
      <c r="W18" s="37" t="str">
        <f>IF(OR(K18="",L18=""),"",IF(Methodology!$B$4-L18&gt;K18,"Overdue","Current"))</f>
        <v/>
      </c>
      <c r="X18" s="38" t="str">
        <f>IF(C18="","",IFERROR(INDEX('Risk Register'!$U$6:$U$105,MATCH(C18,'Risk Register'!$A$6:$A$105,0)),""))</f>
        <v/>
      </c>
      <c r="Y18" s="44" t="str">
        <f t="shared" si="4"/>
        <v/>
      </c>
    </row>
    <row r="19" spans="1:25" x14ac:dyDescent="0.35">
      <c r="A19" s="35"/>
      <c r="B19" s="24"/>
      <c r="C19" s="35"/>
      <c r="D19" s="44" t="str">
        <f>IF(C19="","",IFERROR(INDEX('Risk Register'!$B$6:$B$105,MATCH(C19,'Risk Register'!$A$6:$A$105,0)),"Unknown Risk ID"))</f>
        <v/>
      </c>
      <c r="E19" s="38" t="str">
        <f>IF(C19="","",IFERROR(INDEX('Risk Register'!$D$6:$D$105,MATCH(C19,'Risk Register'!$A$6:$A$105,0)),""))</f>
        <v/>
      </c>
      <c r="F19" s="35"/>
      <c r="G19" s="36"/>
      <c r="H19" s="35"/>
      <c r="I19" s="36"/>
      <c r="J19" s="36"/>
      <c r="K19" s="36"/>
      <c r="L19" s="46"/>
      <c r="M19" s="36"/>
      <c r="N19" s="36"/>
      <c r="O19" s="36"/>
      <c r="P19" s="36"/>
      <c r="Q19" s="36"/>
      <c r="R19" s="36"/>
      <c r="S19" s="37" t="str">
        <f t="shared" si="0"/>
        <v/>
      </c>
      <c r="T19" s="37" t="str">
        <f t="shared" si="1"/>
        <v/>
      </c>
      <c r="U19" s="37" t="str">
        <f t="shared" si="2"/>
        <v/>
      </c>
      <c r="V19" s="37" t="str">
        <f t="shared" si="3"/>
        <v/>
      </c>
      <c r="W19" s="37" t="str">
        <f>IF(OR(K19="",L19=""),"",IF(Methodology!$B$4-L19&gt;K19,"Overdue","Current"))</f>
        <v/>
      </c>
      <c r="X19" s="38" t="str">
        <f>IF(C19="","",IFERROR(INDEX('Risk Register'!$U$6:$U$105,MATCH(C19,'Risk Register'!$A$6:$A$105,0)),""))</f>
        <v/>
      </c>
      <c r="Y19" s="44" t="str">
        <f t="shared" si="4"/>
        <v/>
      </c>
    </row>
    <row r="20" spans="1:25" x14ac:dyDescent="0.35">
      <c r="A20" s="35"/>
      <c r="B20" s="24"/>
      <c r="C20" s="35"/>
      <c r="D20" s="44" t="str">
        <f>IF(C20="","",IFERROR(INDEX('Risk Register'!$B$6:$B$105,MATCH(C20,'Risk Register'!$A$6:$A$105,0)),"Unknown Risk ID"))</f>
        <v/>
      </c>
      <c r="E20" s="38" t="str">
        <f>IF(C20="","",IFERROR(INDEX('Risk Register'!$D$6:$D$105,MATCH(C20,'Risk Register'!$A$6:$A$105,0)),""))</f>
        <v/>
      </c>
      <c r="F20" s="35"/>
      <c r="G20" s="36"/>
      <c r="H20" s="35"/>
      <c r="I20" s="36"/>
      <c r="J20" s="36"/>
      <c r="K20" s="36"/>
      <c r="L20" s="46"/>
      <c r="M20" s="36"/>
      <c r="N20" s="36"/>
      <c r="O20" s="36"/>
      <c r="P20" s="36"/>
      <c r="Q20" s="36"/>
      <c r="R20" s="36"/>
      <c r="S20" s="37" t="str">
        <f t="shared" si="0"/>
        <v/>
      </c>
      <c r="T20" s="37" t="str">
        <f t="shared" si="1"/>
        <v/>
      </c>
      <c r="U20" s="37" t="str">
        <f t="shared" si="2"/>
        <v/>
      </c>
      <c r="V20" s="37" t="str">
        <f t="shared" si="3"/>
        <v/>
      </c>
      <c r="W20" s="37" t="str">
        <f>IF(OR(K20="",L20=""),"",IF(Methodology!$B$4-L20&gt;K20,"Overdue","Current"))</f>
        <v/>
      </c>
      <c r="X20" s="38" t="str">
        <f>IF(C20="","",IFERROR(INDEX('Risk Register'!$U$6:$U$105,MATCH(C20,'Risk Register'!$A$6:$A$105,0)),""))</f>
        <v/>
      </c>
      <c r="Y20" s="44" t="str">
        <f t="shared" si="4"/>
        <v/>
      </c>
    </row>
    <row r="21" spans="1:25" x14ac:dyDescent="0.35">
      <c r="A21" s="35"/>
      <c r="B21" s="24"/>
      <c r="C21" s="35"/>
      <c r="D21" s="44" t="str">
        <f>IF(C21="","",IFERROR(INDEX('Risk Register'!$B$6:$B$105,MATCH(C21,'Risk Register'!$A$6:$A$105,0)),"Unknown Risk ID"))</f>
        <v/>
      </c>
      <c r="E21" s="38" t="str">
        <f>IF(C21="","",IFERROR(INDEX('Risk Register'!$D$6:$D$105,MATCH(C21,'Risk Register'!$A$6:$A$105,0)),""))</f>
        <v/>
      </c>
      <c r="F21" s="35"/>
      <c r="G21" s="36"/>
      <c r="H21" s="35"/>
      <c r="I21" s="36"/>
      <c r="J21" s="36"/>
      <c r="K21" s="36"/>
      <c r="L21" s="46"/>
      <c r="M21" s="36"/>
      <c r="N21" s="36"/>
      <c r="O21" s="36"/>
      <c r="P21" s="36"/>
      <c r="Q21" s="36"/>
      <c r="R21" s="36"/>
      <c r="S21" s="37" t="str">
        <f t="shared" si="0"/>
        <v/>
      </c>
      <c r="T21" s="37" t="str">
        <f t="shared" si="1"/>
        <v/>
      </c>
      <c r="U21" s="37" t="str">
        <f t="shared" si="2"/>
        <v/>
      </c>
      <c r="V21" s="37" t="str">
        <f t="shared" si="3"/>
        <v/>
      </c>
      <c r="W21" s="37" t="str">
        <f>IF(OR(K21="",L21=""),"",IF(Methodology!$B$4-L21&gt;K21,"Overdue","Current"))</f>
        <v/>
      </c>
      <c r="X21" s="38" t="str">
        <f>IF(C21="","",IFERROR(INDEX('Risk Register'!$U$6:$U$105,MATCH(C21,'Risk Register'!$A$6:$A$105,0)),""))</f>
        <v/>
      </c>
      <c r="Y21" s="44" t="str">
        <f t="shared" si="4"/>
        <v/>
      </c>
    </row>
    <row r="22" spans="1:25" x14ac:dyDescent="0.35">
      <c r="A22" s="35"/>
      <c r="B22" s="24"/>
      <c r="C22" s="35"/>
      <c r="D22" s="44" t="str">
        <f>IF(C22="","",IFERROR(INDEX('Risk Register'!$B$6:$B$105,MATCH(C22,'Risk Register'!$A$6:$A$105,0)),"Unknown Risk ID"))</f>
        <v/>
      </c>
      <c r="E22" s="38" t="str">
        <f>IF(C22="","",IFERROR(INDEX('Risk Register'!$D$6:$D$105,MATCH(C22,'Risk Register'!$A$6:$A$105,0)),""))</f>
        <v/>
      </c>
      <c r="F22" s="35"/>
      <c r="G22" s="36"/>
      <c r="H22" s="35"/>
      <c r="I22" s="36"/>
      <c r="J22" s="36"/>
      <c r="K22" s="36"/>
      <c r="L22" s="46"/>
      <c r="M22" s="36"/>
      <c r="N22" s="36"/>
      <c r="O22" s="36"/>
      <c r="P22" s="36"/>
      <c r="Q22" s="36"/>
      <c r="R22" s="36"/>
      <c r="S22" s="37" t="str">
        <f t="shared" si="0"/>
        <v/>
      </c>
      <c r="T22" s="37" t="str">
        <f t="shared" si="1"/>
        <v/>
      </c>
      <c r="U22" s="37" t="str">
        <f t="shared" si="2"/>
        <v/>
      </c>
      <c r="V22" s="37" t="str">
        <f t="shared" si="3"/>
        <v/>
      </c>
      <c r="W22" s="37" t="str">
        <f>IF(OR(K22="",L22=""),"",IF(Methodology!$B$4-L22&gt;K22,"Overdue","Current"))</f>
        <v/>
      </c>
      <c r="X22" s="38" t="str">
        <f>IF(C22="","",IFERROR(INDEX('Risk Register'!$U$6:$U$105,MATCH(C22,'Risk Register'!$A$6:$A$105,0)),""))</f>
        <v/>
      </c>
      <c r="Y22" s="44" t="str">
        <f t="shared" si="4"/>
        <v/>
      </c>
    </row>
    <row r="23" spans="1:25" x14ac:dyDescent="0.35">
      <c r="A23" s="35"/>
      <c r="B23" s="24"/>
      <c r="C23" s="35"/>
      <c r="D23" s="44" t="str">
        <f>IF(C23="","",IFERROR(INDEX('Risk Register'!$B$6:$B$105,MATCH(C23,'Risk Register'!$A$6:$A$105,0)),"Unknown Risk ID"))</f>
        <v/>
      </c>
      <c r="E23" s="38" t="str">
        <f>IF(C23="","",IFERROR(INDEX('Risk Register'!$D$6:$D$105,MATCH(C23,'Risk Register'!$A$6:$A$105,0)),""))</f>
        <v/>
      </c>
      <c r="F23" s="35"/>
      <c r="G23" s="36"/>
      <c r="H23" s="35"/>
      <c r="I23" s="36"/>
      <c r="J23" s="36"/>
      <c r="K23" s="36"/>
      <c r="L23" s="46"/>
      <c r="M23" s="36"/>
      <c r="N23" s="36"/>
      <c r="O23" s="36"/>
      <c r="P23" s="36"/>
      <c r="Q23" s="36"/>
      <c r="R23" s="36"/>
      <c r="S23" s="37" t="str">
        <f t="shared" si="0"/>
        <v/>
      </c>
      <c r="T23" s="37" t="str">
        <f t="shared" si="1"/>
        <v/>
      </c>
      <c r="U23" s="37" t="str">
        <f t="shared" si="2"/>
        <v/>
      </c>
      <c r="V23" s="37" t="str">
        <f t="shared" si="3"/>
        <v/>
      </c>
      <c r="W23" s="37" t="str">
        <f>IF(OR(K23="",L23=""),"",IF(Methodology!$B$4-L23&gt;K23,"Overdue","Current"))</f>
        <v/>
      </c>
      <c r="X23" s="38" t="str">
        <f>IF(C23="","",IFERROR(INDEX('Risk Register'!$U$6:$U$105,MATCH(C23,'Risk Register'!$A$6:$A$105,0)),""))</f>
        <v/>
      </c>
      <c r="Y23" s="44" t="str">
        <f t="shared" si="4"/>
        <v/>
      </c>
    </row>
    <row r="24" spans="1:25" x14ac:dyDescent="0.35">
      <c r="A24" s="35"/>
      <c r="B24" s="24"/>
      <c r="C24" s="35"/>
      <c r="D24" s="44" t="str">
        <f>IF(C24="","",IFERROR(INDEX('Risk Register'!$B$6:$B$105,MATCH(C24,'Risk Register'!$A$6:$A$105,0)),"Unknown Risk ID"))</f>
        <v/>
      </c>
      <c r="E24" s="38" t="str">
        <f>IF(C24="","",IFERROR(INDEX('Risk Register'!$D$6:$D$105,MATCH(C24,'Risk Register'!$A$6:$A$105,0)),""))</f>
        <v/>
      </c>
      <c r="F24" s="35"/>
      <c r="G24" s="36"/>
      <c r="H24" s="35"/>
      <c r="I24" s="36"/>
      <c r="J24" s="36"/>
      <c r="K24" s="36"/>
      <c r="L24" s="46"/>
      <c r="M24" s="36"/>
      <c r="N24" s="36"/>
      <c r="O24" s="36"/>
      <c r="P24" s="36"/>
      <c r="Q24" s="36"/>
      <c r="R24" s="36"/>
      <c r="S24" s="37" t="str">
        <f t="shared" si="0"/>
        <v/>
      </c>
      <c r="T24" s="37" t="str">
        <f t="shared" si="1"/>
        <v/>
      </c>
      <c r="U24" s="37" t="str">
        <f t="shared" si="2"/>
        <v/>
      </c>
      <c r="V24" s="37" t="str">
        <f t="shared" si="3"/>
        <v/>
      </c>
      <c r="W24" s="37" t="str">
        <f>IF(OR(K24="",L24=""),"",IF(Methodology!$B$4-L24&gt;K24,"Overdue","Current"))</f>
        <v/>
      </c>
      <c r="X24" s="38" t="str">
        <f>IF(C24="","",IFERROR(INDEX('Risk Register'!$U$6:$U$105,MATCH(C24,'Risk Register'!$A$6:$A$105,0)),""))</f>
        <v/>
      </c>
      <c r="Y24" s="44" t="str">
        <f t="shared" si="4"/>
        <v/>
      </c>
    </row>
    <row r="25" spans="1:25" x14ac:dyDescent="0.35">
      <c r="A25" s="35"/>
      <c r="B25" s="24"/>
      <c r="C25" s="35"/>
      <c r="D25" s="44" t="str">
        <f>IF(C25="","",IFERROR(INDEX('Risk Register'!$B$6:$B$105,MATCH(C25,'Risk Register'!$A$6:$A$105,0)),"Unknown Risk ID"))</f>
        <v/>
      </c>
      <c r="E25" s="38" t="str">
        <f>IF(C25="","",IFERROR(INDEX('Risk Register'!$D$6:$D$105,MATCH(C25,'Risk Register'!$A$6:$A$105,0)),""))</f>
        <v/>
      </c>
      <c r="F25" s="35"/>
      <c r="G25" s="36"/>
      <c r="H25" s="35"/>
      <c r="I25" s="36"/>
      <c r="J25" s="36"/>
      <c r="K25" s="36"/>
      <c r="L25" s="46"/>
      <c r="M25" s="36"/>
      <c r="N25" s="36"/>
      <c r="O25" s="36"/>
      <c r="P25" s="36"/>
      <c r="Q25" s="36"/>
      <c r="R25" s="36"/>
      <c r="S25" s="37" t="str">
        <f t="shared" si="0"/>
        <v/>
      </c>
      <c r="T25" s="37" t="str">
        <f t="shared" si="1"/>
        <v/>
      </c>
      <c r="U25" s="37" t="str">
        <f t="shared" si="2"/>
        <v/>
      </c>
      <c r="V25" s="37" t="str">
        <f t="shared" si="3"/>
        <v/>
      </c>
      <c r="W25" s="37" t="str">
        <f>IF(OR(K25="",L25=""),"",IF(Methodology!$B$4-L25&gt;K25,"Overdue","Current"))</f>
        <v/>
      </c>
      <c r="X25" s="38" t="str">
        <f>IF(C25="","",IFERROR(INDEX('Risk Register'!$U$6:$U$105,MATCH(C25,'Risk Register'!$A$6:$A$105,0)),""))</f>
        <v/>
      </c>
      <c r="Y25" s="44" t="str">
        <f t="shared" si="4"/>
        <v/>
      </c>
    </row>
    <row r="26" spans="1:25" x14ac:dyDescent="0.35">
      <c r="A26" s="35"/>
      <c r="B26" s="24"/>
      <c r="C26" s="35"/>
      <c r="D26" s="44" t="str">
        <f>IF(C26="","",IFERROR(INDEX('Risk Register'!$B$6:$B$105,MATCH(C26,'Risk Register'!$A$6:$A$105,0)),"Unknown Risk ID"))</f>
        <v/>
      </c>
      <c r="E26" s="38" t="str">
        <f>IF(C26="","",IFERROR(INDEX('Risk Register'!$D$6:$D$105,MATCH(C26,'Risk Register'!$A$6:$A$105,0)),""))</f>
        <v/>
      </c>
      <c r="F26" s="35"/>
      <c r="G26" s="36"/>
      <c r="H26" s="35"/>
      <c r="I26" s="36"/>
      <c r="J26" s="36"/>
      <c r="K26" s="36"/>
      <c r="L26" s="46"/>
      <c r="M26" s="36"/>
      <c r="N26" s="36"/>
      <c r="O26" s="36"/>
      <c r="P26" s="36"/>
      <c r="Q26" s="36"/>
      <c r="R26" s="36"/>
      <c r="S26" s="37" t="str">
        <f t="shared" si="0"/>
        <v/>
      </c>
      <c r="T26" s="37" t="str">
        <f t="shared" si="1"/>
        <v/>
      </c>
      <c r="U26" s="37" t="str">
        <f t="shared" si="2"/>
        <v/>
      </c>
      <c r="V26" s="37" t="str">
        <f t="shared" si="3"/>
        <v/>
      </c>
      <c r="W26" s="37" t="str">
        <f>IF(OR(K26="",L26=""),"",IF(Methodology!$B$4-L26&gt;K26,"Overdue","Current"))</f>
        <v/>
      </c>
      <c r="X26" s="38" t="str">
        <f>IF(C26="","",IFERROR(INDEX('Risk Register'!$U$6:$U$105,MATCH(C26,'Risk Register'!$A$6:$A$105,0)),""))</f>
        <v/>
      </c>
      <c r="Y26" s="44" t="str">
        <f t="shared" si="4"/>
        <v/>
      </c>
    </row>
    <row r="27" spans="1:25" x14ac:dyDescent="0.35">
      <c r="A27" s="35"/>
      <c r="B27" s="24"/>
      <c r="C27" s="35"/>
      <c r="D27" s="44" t="str">
        <f>IF(C27="","",IFERROR(INDEX('Risk Register'!$B$6:$B$105,MATCH(C27,'Risk Register'!$A$6:$A$105,0)),"Unknown Risk ID"))</f>
        <v/>
      </c>
      <c r="E27" s="38" t="str">
        <f>IF(C27="","",IFERROR(INDEX('Risk Register'!$D$6:$D$105,MATCH(C27,'Risk Register'!$A$6:$A$105,0)),""))</f>
        <v/>
      </c>
      <c r="F27" s="35"/>
      <c r="G27" s="36"/>
      <c r="H27" s="35"/>
      <c r="I27" s="36"/>
      <c r="J27" s="36"/>
      <c r="K27" s="36"/>
      <c r="L27" s="46"/>
      <c r="M27" s="36"/>
      <c r="N27" s="36"/>
      <c r="O27" s="36"/>
      <c r="P27" s="36"/>
      <c r="Q27" s="36"/>
      <c r="R27" s="36"/>
      <c r="S27" s="37" t="str">
        <f t="shared" si="0"/>
        <v/>
      </c>
      <c r="T27" s="37" t="str">
        <f t="shared" si="1"/>
        <v/>
      </c>
      <c r="U27" s="37" t="str">
        <f t="shared" si="2"/>
        <v/>
      </c>
      <c r="V27" s="37" t="str">
        <f t="shared" si="3"/>
        <v/>
      </c>
      <c r="W27" s="37" t="str">
        <f>IF(OR(K27="",L27=""),"",IF(Methodology!$B$4-L27&gt;K27,"Overdue","Current"))</f>
        <v/>
      </c>
      <c r="X27" s="38" t="str">
        <f>IF(C27="","",IFERROR(INDEX('Risk Register'!$U$6:$U$105,MATCH(C27,'Risk Register'!$A$6:$A$105,0)),""))</f>
        <v/>
      </c>
      <c r="Y27" s="44" t="str">
        <f t="shared" si="4"/>
        <v/>
      </c>
    </row>
    <row r="28" spans="1:25" x14ac:dyDescent="0.35">
      <c r="A28" s="35"/>
      <c r="B28" s="24"/>
      <c r="C28" s="35"/>
      <c r="D28" s="44" t="str">
        <f>IF(C28="","",IFERROR(INDEX('Risk Register'!$B$6:$B$105,MATCH(C28,'Risk Register'!$A$6:$A$105,0)),"Unknown Risk ID"))</f>
        <v/>
      </c>
      <c r="E28" s="38" t="str">
        <f>IF(C28="","",IFERROR(INDEX('Risk Register'!$D$6:$D$105,MATCH(C28,'Risk Register'!$A$6:$A$105,0)),""))</f>
        <v/>
      </c>
      <c r="F28" s="35"/>
      <c r="G28" s="36"/>
      <c r="H28" s="35"/>
      <c r="I28" s="36"/>
      <c r="J28" s="36"/>
      <c r="K28" s="36"/>
      <c r="L28" s="46"/>
      <c r="M28" s="36"/>
      <c r="N28" s="36"/>
      <c r="O28" s="36"/>
      <c r="P28" s="36"/>
      <c r="Q28" s="36"/>
      <c r="R28" s="36"/>
      <c r="S28" s="37" t="str">
        <f t="shared" si="0"/>
        <v/>
      </c>
      <c r="T28" s="37" t="str">
        <f t="shared" si="1"/>
        <v/>
      </c>
      <c r="U28" s="37" t="str">
        <f t="shared" si="2"/>
        <v/>
      </c>
      <c r="V28" s="37" t="str">
        <f t="shared" si="3"/>
        <v/>
      </c>
      <c r="W28" s="37" t="str">
        <f>IF(OR(K28="",L28=""),"",IF(Methodology!$B$4-L28&gt;K28,"Overdue","Current"))</f>
        <v/>
      </c>
      <c r="X28" s="38" t="str">
        <f>IF(C28="","",IFERROR(INDEX('Risk Register'!$U$6:$U$105,MATCH(C28,'Risk Register'!$A$6:$A$105,0)),""))</f>
        <v/>
      </c>
      <c r="Y28" s="44" t="str">
        <f t="shared" si="4"/>
        <v/>
      </c>
    </row>
    <row r="29" spans="1:25" x14ac:dyDescent="0.35">
      <c r="A29" s="35"/>
      <c r="B29" s="24"/>
      <c r="C29" s="35"/>
      <c r="D29" s="44" t="str">
        <f>IF(C29="","",IFERROR(INDEX('Risk Register'!$B$6:$B$105,MATCH(C29,'Risk Register'!$A$6:$A$105,0)),"Unknown Risk ID"))</f>
        <v/>
      </c>
      <c r="E29" s="38" t="str">
        <f>IF(C29="","",IFERROR(INDEX('Risk Register'!$D$6:$D$105,MATCH(C29,'Risk Register'!$A$6:$A$105,0)),""))</f>
        <v/>
      </c>
      <c r="F29" s="35"/>
      <c r="G29" s="36"/>
      <c r="H29" s="35"/>
      <c r="I29" s="36"/>
      <c r="J29" s="36"/>
      <c r="K29" s="36"/>
      <c r="L29" s="46"/>
      <c r="M29" s="36"/>
      <c r="N29" s="36"/>
      <c r="O29" s="36"/>
      <c r="P29" s="36"/>
      <c r="Q29" s="36"/>
      <c r="R29" s="36"/>
      <c r="S29" s="37" t="str">
        <f t="shared" si="0"/>
        <v/>
      </c>
      <c r="T29" s="37" t="str">
        <f t="shared" si="1"/>
        <v/>
      </c>
      <c r="U29" s="37" t="str">
        <f t="shared" si="2"/>
        <v/>
      </c>
      <c r="V29" s="37" t="str">
        <f t="shared" si="3"/>
        <v/>
      </c>
      <c r="W29" s="37" t="str">
        <f>IF(OR(K29="",L29=""),"",IF(Methodology!$B$4-L29&gt;K29,"Overdue","Current"))</f>
        <v/>
      </c>
      <c r="X29" s="38" t="str">
        <f>IF(C29="","",IFERROR(INDEX('Risk Register'!$U$6:$U$105,MATCH(C29,'Risk Register'!$A$6:$A$105,0)),""))</f>
        <v/>
      </c>
      <c r="Y29" s="44" t="str">
        <f t="shared" si="4"/>
        <v/>
      </c>
    </row>
    <row r="30" spans="1:25" x14ac:dyDescent="0.35">
      <c r="A30" s="35"/>
      <c r="B30" s="24"/>
      <c r="C30" s="35"/>
      <c r="D30" s="44" t="str">
        <f>IF(C30="","",IFERROR(INDEX('Risk Register'!$B$6:$B$105,MATCH(C30,'Risk Register'!$A$6:$A$105,0)),"Unknown Risk ID"))</f>
        <v/>
      </c>
      <c r="E30" s="38" t="str">
        <f>IF(C30="","",IFERROR(INDEX('Risk Register'!$D$6:$D$105,MATCH(C30,'Risk Register'!$A$6:$A$105,0)),""))</f>
        <v/>
      </c>
      <c r="F30" s="35"/>
      <c r="G30" s="36"/>
      <c r="H30" s="35"/>
      <c r="I30" s="36"/>
      <c r="J30" s="36"/>
      <c r="K30" s="36"/>
      <c r="L30" s="46"/>
      <c r="M30" s="36"/>
      <c r="N30" s="36"/>
      <c r="O30" s="36"/>
      <c r="P30" s="36"/>
      <c r="Q30" s="36"/>
      <c r="R30" s="36"/>
      <c r="S30" s="37" t="str">
        <f t="shared" si="0"/>
        <v/>
      </c>
      <c r="T30" s="37" t="str">
        <f t="shared" si="1"/>
        <v/>
      </c>
      <c r="U30" s="37" t="str">
        <f t="shared" si="2"/>
        <v/>
      </c>
      <c r="V30" s="37" t="str">
        <f t="shared" si="3"/>
        <v/>
      </c>
      <c r="W30" s="37" t="str">
        <f>IF(OR(K30="",L30=""),"",IF(Methodology!$B$4-L30&gt;K30,"Overdue","Current"))</f>
        <v/>
      </c>
      <c r="X30" s="38" t="str">
        <f>IF(C30="","",IFERROR(INDEX('Risk Register'!$U$6:$U$105,MATCH(C30,'Risk Register'!$A$6:$A$105,0)),""))</f>
        <v/>
      </c>
      <c r="Y30" s="44" t="str">
        <f t="shared" si="4"/>
        <v/>
      </c>
    </row>
    <row r="31" spans="1:25" x14ac:dyDescent="0.35">
      <c r="A31" s="35"/>
      <c r="B31" s="24"/>
      <c r="C31" s="35"/>
      <c r="D31" s="44" t="str">
        <f>IF(C31="","",IFERROR(INDEX('Risk Register'!$B$6:$B$105,MATCH(C31,'Risk Register'!$A$6:$A$105,0)),"Unknown Risk ID"))</f>
        <v/>
      </c>
      <c r="E31" s="38" t="str">
        <f>IF(C31="","",IFERROR(INDEX('Risk Register'!$D$6:$D$105,MATCH(C31,'Risk Register'!$A$6:$A$105,0)),""))</f>
        <v/>
      </c>
      <c r="F31" s="35"/>
      <c r="G31" s="36"/>
      <c r="H31" s="35"/>
      <c r="I31" s="36"/>
      <c r="J31" s="36"/>
      <c r="K31" s="36"/>
      <c r="L31" s="46"/>
      <c r="M31" s="36"/>
      <c r="N31" s="36"/>
      <c r="O31" s="36"/>
      <c r="P31" s="36"/>
      <c r="Q31" s="36"/>
      <c r="R31" s="36"/>
      <c r="S31" s="37" t="str">
        <f t="shared" si="0"/>
        <v/>
      </c>
      <c r="T31" s="37" t="str">
        <f t="shared" si="1"/>
        <v/>
      </c>
      <c r="U31" s="37" t="str">
        <f t="shared" si="2"/>
        <v/>
      </c>
      <c r="V31" s="37" t="str">
        <f t="shared" si="3"/>
        <v/>
      </c>
      <c r="W31" s="37" t="str">
        <f>IF(OR(K31="",L31=""),"",IF(Methodology!$B$4-L31&gt;K31,"Overdue","Current"))</f>
        <v/>
      </c>
      <c r="X31" s="38" t="str">
        <f>IF(C31="","",IFERROR(INDEX('Risk Register'!$U$6:$U$105,MATCH(C31,'Risk Register'!$A$6:$A$105,0)),""))</f>
        <v/>
      </c>
      <c r="Y31" s="44" t="str">
        <f t="shared" si="4"/>
        <v/>
      </c>
    </row>
    <row r="32" spans="1:25" x14ac:dyDescent="0.35">
      <c r="A32" s="35"/>
      <c r="B32" s="24"/>
      <c r="C32" s="35"/>
      <c r="D32" s="44" t="str">
        <f>IF(C32="","",IFERROR(INDEX('Risk Register'!$B$6:$B$105,MATCH(C32,'Risk Register'!$A$6:$A$105,0)),"Unknown Risk ID"))</f>
        <v/>
      </c>
      <c r="E32" s="38" t="str">
        <f>IF(C32="","",IFERROR(INDEX('Risk Register'!$D$6:$D$105,MATCH(C32,'Risk Register'!$A$6:$A$105,0)),""))</f>
        <v/>
      </c>
      <c r="F32" s="35"/>
      <c r="G32" s="36"/>
      <c r="H32" s="35"/>
      <c r="I32" s="36"/>
      <c r="J32" s="36"/>
      <c r="K32" s="36"/>
      <c r="L32" s="46"/>
      <c r="M32" s="36"/>
      <c r="N32" s="36"/>
      <c r="O32" s="36"/>
      <c r="P32" s="36"/>
      <c r="Q32" s="36"/>
      <c r="R32" s="36"/>
      <c r="S32" s="37" t="str">
        <f t="shared" si="0"/>
        <v/>
      </c>
      <c r="T32" s="37" t="str">
        <f t="shared" si="1"/>
        <v/>
      </c>
      <c r="U32" s="37" t="str">
        <f t="shared" si="2"/>
        <v/>
      </c>
      <c r="V32" s="37" t="str">
        <f t="shared" si="3"/>
        <v/>
      </c>
      <c r="W32" s="37" t="str">
        <f>IF(OR(K32="",L32=""),"",IF(Methodology!$B$4-L32&gt;K32,"Overdue","Current"))</f>
        <v/>
      </c>
      <c r="X32" s="38" t="str">
        <f>IF(C32="","",IFERROR(INDEX('Risk Register'!$U$6:$U$105,MATCH(C32,'Risk Register'!$A$6:$A$105,0)),""))</f>
        <v/>
      </c>
      <c r="Y32" s="44" t="str">
        <f t="shared" si="4"/>
        <v/>
      </c>
    </row>
    <row r="33" spans="1:25" x14ac:dyDescent="0.35">
      <c r="A33" s="35"/>
      <c r="B33" s="24"/>
      <c r="C33" s="35"/>
      <c r="D33" s="44" t="str">
        <f>IF(C33="","",IFERROR(INDEX('Risk Register'!$B$6:$B$105,MATCH(C33,'Risk Register'!$A$6:$A$105,0)),"Unknown Risk ID"))</f>
        <v/>
      </c>
      <c r="E33" s="38" t="str">
        <f>IF(C33="","",IFERROR(INDEX('Risk Register'!$D$6:$D$105,MATCH(C33,'Risk Register'!$A$6:$A$105,0)),""))</f>
        <v/>
      </c>
      <c r="F33" s="35"/>
      <c r="G33" s="36"/>
      <c r="H33" s="35"/>
      <c r="I33" s="36"/>
      <c r="J33" s="36"/>
      <c r="K33" s="36"/>
      <c r="L33" s="46"/>
      <c r="M33" s="36"/>
      <c r="N33" s="36"/>
      <c r="O33" s="36"/>
      <c r="P33" s="36"/>
      <c r="Q33" s="36"/>
      <c r="R33" s="36"/>
      <c r="S33" s="37" t="str">
        <f t="shared" si="0"/>
        <v/>
      </c>
      <c r="T33" s="37" t="str">
        <f t="shared" si="1"/>
        <v/>
      </c>
      <c r="U33" s="37" t="str">
        <f t="shared" si="2"/>
        <v/>
      </c>
      <c r="V33" s="37" t="str">
        <f t="shared" si="3"/>
        <v/>
      </c>
      <c r="W33" s="37" t="str">
        <f>IF(OR(K33="",L33=""),"",IF(Methodology!$B$4-L33&gt;K33,"Overdue","Current"))</f>
        <v/>
      </c>
      <c r="X33" s="38" t="str">
        <f>IF(C33="","",IFERROR(INDEX('Risk Register'!$U$6:$U$105,MATCH(C33,'Risk Register'!$A$6:$A$105,0)),""))</f>
        <v/>
      </c>
      <c r="Y33" s="44" t="str">
        <f t="shared" si="4"/>
        <v/>
      </c>
    </row>
    <row r="34" spans="1:25" x14ac:dyDescent="0.35">
      <c r="A34" s="35"/>
      <c r="B34" s="24"/>
      <c r="C34" s="35"/>
      <c r="D34" s="44" t="str">
        <f>IF(C34="","",IFERROR(INDEX('Risk Register'!$B$6:$B$105,MATCH(C34,'Risk Register'!$A$6:$A$105,0)),"Unknown Risk ID"))</f>
        <v/>
      </c>
      <c r="E34" s="38" t="str">
        <f>IF(C34="","",IFERROR(INDEX('Risk Register'!$D$6:$D$105,MATCH(C34,'Risk Register'!$A$6:$A$105,0)),""))</f>
        <v/>
      </c>
      <c r="F34" s="35"/>
      <c r="G34" s="36"/>
      <c r="H34" s="35"/>
      <c r="I34" s="36"/>
      <c r="J34" s="36"/>
      <c r="K34" s="36"/>
      <c r="L34" s="46"/>
      <c r="M34" s="36"/>
      <c r="N34" s="36"/>
      <c r="O34" s="36"/>
      <c r="P34" s="36"/>
      <c r="Q34" s="36"/>
      <c r="R34" s="36"/>
      <c r="S34" s="37" t="str">
        <f t="shared" si="0"/>
        <v/>
      </c>
      <c r="T34" s="37" t="str">
        <f t="shared" si="1"/>
        <v/>
      </c>
      <c r="U34" s="37" t="str">
        <f t="shared" si="2"/>
        <v/>
      </c>
      <c r="V34" s="37" t="str">
        <f t="shared" si="3"/>
        <v/>
      </c>
      <c r="W34" s="37" t="str">
        <f>IF(OR(K34="",L34=""),"",IF(Methodology!$B$4-L34&gt;K34,"Overdue","Current"))</f>
        <v/>
      </c>
      <c r="X34" s="38" t="str">
        <f>IF(C34="","",IFERROR(INDEX('Risk Register'!$U$6:$U$105,MATCH(C34,'Risk Register'!$A$6:$A$105,0)),""))</f>
        <v/>
      </c>
      <c r="Y34" s="44" t="str">
        <f t="shared" si="4"/>
        <v/>
      </c>
    </row>
    <row r="35" spans="1:25" x14ac:dyDescent="0.35">
      <c r="A35" s="35"/>
      <c r="B35" s="24"/>
      <c r="C35" s="35"/>
      <c r="D35" s="44" t="str">
        <f>IF(C35="","",IFERROR(INDEX('Risk Register'!$B$6:$B$105,MATCH(C35,'Risk Register'!$A$6:$A$105,0)),"Unknown Risk ID"))</f>
        <v/>
      </c>
      <c r="E35" s="38" t="str">
        <f>IF(C35="","",IFERROR(INDEX('Risk Register'!$D$6:$D$105,MATCH(C35,'Risk Register'!$A$6:$A$105,0)),""))</f>
        <v/>
      </c>
      <c r="F35" s="35"/>
      <c r="G35" s="36"/>
      <c r="H35" s="35"/>
      <c r="I35" s="36"/>
      <c r="J35" s="36"/>
      <c r="K35" s="36"/>
      <c r="L35" s="46"/>
      <c r="M35" s="36"/>
      <c r="N35" s="36"/>
      <c r="O35" s="36"/>
      <c r="P35" s="36"/>
      <c r="Q35" s="36"/>
      <c r="R35" s="36"/>
      <c r="S35" s="37" t="str">
        <f t="shared" si="0"/>
        <v/>
      </c>
      <c r="T35" s="37" t="str">
        <f t="shared" si="1"/>
        <v/>
      </c>
      <c r="U35" s="37" t="str">
        <f t="shared" si="2"/>
        <v/>
      </c>
      <c r="V35" s="37" t="str">
        <f t="shared" si="3"/>
        <v/>
      </c>
      <c r="W35" s="37" t="str">
        <f>IF(OR(K35="",L35=""),"",IF(Methodology!$B$4-L35&gt;K35,"Overdue","Current"))</f>
        <v/>
      </c>
      <c r="X35" s="38" t="str">
        <f>IF(C35="","",IFERROR(INDEX('Risk Register'!$U$6:$U$105,MATCH(C35,'Risk Register'!$A$6:$A$105,0)),""))</f>
        <v/>
      </c>
      <c r="Y35" s="44" t="str">
        <f t="shared" si="4"/>
        <v/>
      </c>
    </row>
    <row r="36" spans="1:25" x14ac:dyDescent="0.35">
      <c r="A36" s="35"/>
      <c r="B36" s="24"/>
      <c r="C36" s="35"/>
      <c r="D36" s="44" t="str">
        <f>IF(C36="","",IFERROR(INDEX('Risk Register'!$B$6:$B$105,MATCH(C36,'Risk Register'!$A$6:$A$105,0)),"Unknown Risk ID"))</f>
        <v/>
      </c>
      <c r="E36" s="38" t="str">
        <f>IF(C36="","",IFERROR(INDEX('Risk Register'!$D$6:$D$105,MATCH(C36,'Risk Register'!$A$6:$A$105,0)),""))</f>
        <v/>
      </c>
      <c r="F36" s="35"/>
      <c r="G36" s="36"/>
      <c r="H36" s="35"/>
      <c r="I36" s="36"/>
      <c r="J36" s="36"/>
      <c r="K36" s="36"/>
      <c r="L36" s="46"/>
      <c r="M36" s="36"/>
      <c r="N36" s="36"/>
      <c r="O36" s="36"/>
      <c r="P36" s="36"/>
      <c r="Q36" s="36"/>
      <c r="R36" s="36"/>
      <c r="S36" s="37" t="str">
        <f t="shared" si="0"/>
        <v/>
      </c>
      <c r="T36" s="37" t="str">
        <f t="shared" si="1"/>
        <v/>
      </c>
      <c r="U36" s="37" t="str">
        <f t="shared" si="2"/>
        <v/>
      </c>
      <c r="V36" s="37" t="str">
        <f t="shared" si="3"/>
        <v/>
      </c>
      <c r="W36" s="37" t="str">
        <f>IF(OR(K36="",L36=""),"",IF(Methodology!$B$4-L36&gt;K36,"Overdue","Current"))</f>
        <v/>
      </c>
      <c r="X36" s="38" t="str">
        <f>IF(C36="","",IFERROR(INDEX('Risk Register'!$U$6:$U$105,MATCH(C36,'Risk Register'!$A$6:$A$105,0)),""))</f>
        <v/>
      </c>
      <c r="Y36" s="44" t="str">
        <f t="shared" si="4"/>
        <v/>
      </c>
    </row>
    <row r="37" spans="1:25" x14ac:dyDescent="0.35">
      <c r="A37" s="35"/>
      <c r="B37" s="24"/>
      <c r="C37" s="35"/>
      <c r="D37" s="44" t="str">
        <f>IF(C37="","",IFERROR(INDEX('Risk Register'!$B$6:$B$105,MATCH(C37,'Risk Register'!$A$6:$A$105,0)),"Unknown Risk ID"))</f>
        <v/>
      </c>
      <c r="E37" s="38" t="str">
        <f>IF(C37="","",IFERROR(INDEX('Risk Register'!$D$6:$D$105,MATCH(C37,'Risk Register'!$A$6:$A$105,0)),""))</f>
        <v/>
      </c>
      <c r="F37" s="35"/>
      <c r="G37" s="36"/>
      <c r="H37" s="35"/>
      <c r="I37" s="36"/>
      <c r="J37" s="36"/>
      <c r="K37" s="36"/>
      <c r="L37" s="46"/>
      <c r="M37" s="36"/>
      <c r="N37" s="36"/>
      <c r="O37" s="36"/>
      <c r="P37" s="36"/>
      <c r="Q37" s="36"/>
      <c r="R37" s="36"/>
      <c r="S37" s="37" t="str">
        <f t="shared" si="0"/>
        <v/>
      </c>
      <c r="T37" s="37" t="str">
        <f t="shared" si="1"/>
        <v/>
      </c>
      <c r="U37" s="37" t="str">
        <f t="shared" si="2"/>
        <v/>
      </c>
      <c r="V37" s="37" t="str">
        <f t="shared" si="3"/>
        <v/>
      </c>
      <c r="W37" s="37" t="str">
        <f>IF(OR(K37="",L37=""),"",IF(Methodology!$B$4-L37&gt;K37,"Overdue","Current"))</f>
        <v/>
      </c>
      <c r="X37" s="38" t="str">
        <f>IF(C37="","",IFERROR(INDEX('Risk Register'!$U$6:$U$105,MATCH(C37,'Risk Register'!$A$6:$A$105,0)),""))</f>
        <v/>
      </c>
      <c r="Y37" s="44" t="str">
        <f t="shared" si="4"/>
        <v/>
      </c>
    </row>
    <row r="38" spans="1:25" x14ac:dyDescent="0.35">
      <c r="A38" s="35"/>
      <c r="B38" s="24"/>
      <c r="C38" s="35"/>
      <c r="D38" s="44" t="str">
        <f>IF(C38="","",IFERROR(INDEX('Risk Register'!$B$6:$B$105,MATCH(C38,'Risk Register'!$A$6:$A$105,0)),"Unknown Risk ID"))</f>
        <v/>
      </c>
      <c r="E38" s="38" t="str">
        <f>IF(C38="","",IFERROR(INDEX('Risk Register'!$D$6:$D$105,MATCH(C38,'Risk Register'!$A$6:$A$105,0)),""))</f>
        <v/>
      </c>
      <c r="F38" s="35"/>
      <c r="G38" s="36"/>
      <c r="H38" s="35"/>
      <c r="I38" s="36"/>
      <c r="J38" s="36"/>
      <c r="K38" s="36"/>
      <c r="L38" s="46"/>
      <c r="M38" s="36"/>
      <c r="N38" s="36"/>
      <c r="O38" s="36"/>
      <c r="P38" s="36"/>
      <c r="Q38" s="36"/>
      <c r="R38" s="36"/>
      <c r="S38" s="37" t="str">
        <f t="shared" ref="S38:S65" si="5">IF(COUNT(M38:R38)=0,"",INDEX(M38:R38,COUNT(M38:R38)))</f>
        <v/>
      </c>
      <c r="T38" s="37" t="str">
        <f t="shared" ref="T38:T65" si="6">IF(COUNT(M38:R38)&lt;2,"",INDEX(M38:R38,COUNT(M38:R38)-1))</f>
        <v/>
      </c>
      <c r="U38" s="37" t="str">
        <f t="shared" ref="U38:U65" si="7">IF(A38="","",IF(S38="","No data",IF(H38="Higher is worse",IF(S38&gt;=J38,"Red",IF(S38&gt;=I38,"Amber","Green")),IF(S38&lt;=J38,"Red",IF(S38&lt;=I38,"Amber","Green")))))</f>
        <v/>
      </c>
      <c r="V38" s="37" t="str">
        <f t="shared" ref="V38:V65" si="8">IF(OR(S38="",T38=""),"",IF(S38=T38,"Stable",IF((S38&gt;T38)=(H38="Higher is worse"),"Worsening","Improving")))</f>
        <v/>
      </c>
      <c r="W38" s="37" t="str">
        <f>IF(OR(K38="",L38=""),"",IF(Methodology!$B$4-L38&gt;K38,"Overdue","Current"))</f>
        <v/>
      </c>
      <c r="X38" s="38" t="str">
        <f>IF(C38="","",IFERROR(INDEX('Risk Register'!$U$6:$U$105,MATCH(C38,'Risk Register'!$A$6:$A$105,0)),""))</f>
        <v/>
      </c>
      <c r="Y38" s="44" t="str">
        <f t="shared" ref="Y38:Y65" si="9">IF(AND(U38="Red",X38="Within appetite"),"Early warning: KRI red while risk is within appetite","")</f>
        <v/>
      </c>
    </row>
    <row r="39" spans="1:25" x14ac:dyDescent="0.35">
      <c r="A39" s="35"/>
      <c r="B39" s="24"/>
      <c r="C39" s="35"/>
      <c r="D39" s="44" t="str">
        <f>IF(C39="","",IFERROR(INDEX('Risk Register'!$B$6:$B$105,MATCH(C39,'Risk Register'!$A$6:$A$105,0)),"Unknown Risk ID"))</f>
        <v/>
      </c>
      <c r="E39" s="38" t="str">
        <f>IF(C39="","",IFERROR(INDEX('Risk Register'!$D$6:$D$105,MATCH(C39,'Risk Register'!$A$6:$A$105,0)),""))</f>
        <v/>
      </c>
      <c r="F39" s="35"/>
      <c r="G39" s="36"/>
      <c r="H39" s="35"/>
      <c r="I39" s="36"/>
      <c r="J39" s="36"/>
      <c r="K39" s="36"/>
      <c r="L39" s="46"/>
      <c r="M39" s="36"/>
      <c r="N39" s="36"/>
      <c r="O39" s="36"/>
      <c r="P39" s="36"/>
      <c r="Q39" s="36"/>
      <c r="R39" s="36"/>
      <c r="S39" s="37" t="str">
        <f t="shared" si="5"/>
        <v/>
      </c>
      <c r="T39" s="37" t="str">
        <f t="shared" si="6"/>
        <v/>
      </c>
      <c r="U39" s="37" t="str">
        <f t="shared" si="7"/>
        <v/>
      </c>
      <c r="V39" s="37" t="str">
        <f t="shared" si="8"/>
        <v/>
      </c>
      <c r="W39" s="37" t="str">
        <f>IF(OR(K39="",L39=""),"",IF(Methodology!$B$4-L39&gt;K39,"Overdue","Current"))</f>
        <v/>
      </c>
      <c r="X39" s="38" t="str">
        <f>IF(C39="","",IFERROR(INDEX('Risk Register'!$U$6:$U$105,MATCH(C39,'Risk Register'!$A$6:$A$105,0)),""))</f>
        <v/>
      </c>
      <c r="Y39" s="44" t="str">
        <f t="shared" si="9"/>
        <v/>
      </c>
    </row>
    <row r="40" spans="1:25" x14ac:dyDescent="0.35">
      <c r="A40" s="35"/>
      <c r="B40" s="24"/>
      <c r="C40" s="35"/>
      <c r="D40" s="44" t="str">
        <f>IF(C40="","",IFERROR(INDEX('Risk Register'!$B$6:$B$105,MATCH(C40,'Risk Register'!$A$6:$A$105,0)),"Unknown Risk ID"))</f>
        <v/>
      </c>
      <c r="E40" s="38" t="str">
        <f>IF(C40="","",IFERROR(INDEX('Risk Register'!$D$6:$D$105,MATCH(C40,'Risk Register'!$A$6:$A$105,0)),""))</f>
        <v/>
      </c>
      <c r="F40" s="35"/>
      <c r="G40" s="36"/>
      <c r="H40" s="35"/>
      <c r="I40" s="36"/>
      <c r="J40" s="36"/>
      <c r="K40" s="36"/>
      <c r="L40" s="46"/>
      <c r="M40" s="36"/>
      <c r="N40" s="36"/>
      <c r="O40" s="36"/>
      <c r="P40" s="36"/>
      <c r="Q40" s="36"/>
      <c r="R40" s="36"/>
      <c r="S40" s="37" t="str">
        <f t="shared" si="5"/>
        <v/>
      </c>
      <c r="T40" s="37" t="str">
        <f t="shared" si="6"/>
        <v/>
      </c>
      <c r="U40" s="37" t="str">
        <f t="shared" si="7"/>
        <v/>
      </c>
      <c r="V40" s="37" t="str">
        <f t="shared" si="8"/>
        <v/>
      </c>
      <c r="W40" s="37" t="str">
        <f>IF(OR(K40="",L40=""),"",IF(Methodology!$B$4-L40&gt;K40,"Overdue","Current"))</f>
        <v/>
      </c>
      <c r="X40" s="38" t="str">
        <f>IF(C40="","",IFERROR(INDEX('Risk Register'!$U$6:$U$105,MATCH(C40,'Risk Register'!$A$6:$A$105,0)),""))</f>
        <v/>
      </c>
      <c r="Y40" s="44" t="str">
        <f t="shared" si="9"/>
        <v/>
      </c>
    </row>
    <row r="41" spans="1:25" x14ac:dyDescent="0.35">
      <c r="A41" s="35"/>
      <c r="B41" s="24"/>
      <c r="C41" s="35"/>
      <c r="D41" s="44" t="str">
        <f>IF(C41="","",IFERROR(INDEX('Risk Register'!$B$6:$B$105,MATCH(C41,'Risk Register'!$A$6:$A$105,0)),"Unknown Risk ID"))</f>
        <v/>
      </c>
      <c r="E41" s="38" t="str">
        <f>IF(C41="","",IFERROR(INDEX('Risk Register'!$D$6:$D$105,MATCH(C41,'Risk Register'!$A$6:$A$105,0)),""))</f>
        <v/>
      </c>
      <c r="F41" s="35"/>
      <c r="G41" s="36"/>
      <c r="H41" s="35"/>
      <c r="I41" s="36"/>
      <c r="J41" s="36"/>
      <c r="K41" s="36"/>
      <c r="L41" s="46"/>
      <c r="M41" s="36"/>
      <c r="N41" s="36"/>
      <c r="O41" s="36"/>
      <c r="P41" s="36"/>
      <c r="Q41" s="36"/>
      <c r="R41" s="36"/>
      <c r="S41" s="37" t="str">
        <f t="shared" si="5"/>
        <v/>
      </c>
      <c r="T41" s="37" t="str">
        <f t="shared" si="6"/>
        <v/>
      </c>
      <c r="U41" s="37" t="str">
        <f t="shared" si="7"/>
        <v/>
      </c>
      <c r="V41" s="37" t="str">
        <f t="shared" si="8"/>
        <v/>
      </c>
      <c r="W41" s="37" t="str">
        <f>IF(OR(K41="",L41=""),"",IF(Methodology!$B$4-L41&gt;K41,"Overdue","Current"))</f>
        <v/>
      </c>
      <c r="X41" s="38" t="str">
        <f>IF(C41="","",IFERROR(INDEX('Risk Register'!$U$6:$U$105,MATCH(C41,'Risk Register'!$A$6:$A$105,0)),""))</f>
        <v/>
      </c>
      <c r="Y41" s="44" t="str">
        <f t="shared" si="9"/>
        <v/>
      </c>
    </row>
    <row r="42" spans="1:25" x14ac:dyDescent="0.35">
      <c r="A42" s="35"/>
      <c r="B42" s="24"/>
      <c r="C42" s="35"/>
      <c r="D42" s="44" t="str">
        <f>IF(C42="","",IFERROR(INDEX('Risk Register'!$B$6:$B$105,MATCH(C42,'Risk Register'!$A$6:$A$105,0)),"Unknown Risk ID"))</f>
        <v/>
      </c>
      <c r="E42" s="38" t="str">
        <f>IF(C42="","",IFERROR(INDEX('Risk Register'!$D$6:$D$105,MATCH(C42,'Risk Register'!$A$6:$A$105,0)),""))</f>
        <v/>
      </c>
      <c r="F42" s="35"/>
      <c r="G42" s="36"/>
      <c r="H42" s="35"/>
      <c r="I42" s="36"/>
      <c r="J42" s="36"/>
      <c r="K42" s="36"/>
      <c r="L42" s="46"/>
      <c r="M42" s="36"/>
      <c r="N42" s="36"/>
      <c r="O42" s="36"/>
      <c r="P42" s="36"/>
      <c r="Q42" s="36"/>
      <c r="R42" s="36"/>
      <c r="S42" s="37" t="str">
        <f t="shared" si="5"/>
        <v/>
      </c>
      <c r="T42" s="37" t="str">
        <f t="shared" si="6"/>
        <v/>
      </c>
      <c r="U42" s="37" t="str">
        <f t="shared" si="7"/>
        <v/>
      </c>
      <c r="V42" s="37" t="str">
        <f t="shared" si="8"/>
        <v/>
      </c>
      <c r="W42" s="37" t="str">
        <f>IF(OR(K42="",L42=""),"",IF(Methodology!$B$4-L42&gt;K42,"Overdue","Current"))</f>
        <v/>
      </c>
      <c r="X42" s="38" t="str">
        <f>IF(C42="","",IFERROR(INDEX('Risk Register'!$U$6:$U$105,MATCH(C42,'Risk Register'!$A$6:$A$105,0)),""))</f>
        <v/>
      </c>
      <c r="Y42" s="44" t="str">
        <f t="shared" si="9"/>
        <v/>
      </c>
    </row>
    <row r="43" spans="1:25" x14ac:dyDescent="0.35">
      <c r="A43" s="35"/>
      <c r="B43" s="24"/>
      <c r="C43" s="35"/>
      <c r="D43" s="44" t="str">
        <f>IF(C43="","",IFERROR(INDEX('Risk Register'!$B$6:$B$105,MATCH(C43,'Risk Register'!$A$6:$A$105,0)),"Unknown Risk ID"))</f>
        <v/>
      </c>
      <c r="E43" s="38" t="str">
        <f>IF(C43="","",IFERROR(INDEX('Risk Register'!$D$6:$D$105,MATCH(C43,'Risk Register'!$A$6:$A$105,0)),""))</f>
        <v/>
      </c>
      <c r="F43" s="35"/>
      <c r="G43" s="36"/>
      <c r="H43" s="35"/>
      <c r="I43" s="36"/>
      <c r="J43" s="36"/>
      <c r="K43" s="36"/>
      <c r="L43" s="46"/>
      <c r="M43" s="36"/>
      <c r="N43" s="36"/>
      <c r="O43" s="36"/>
      <c r="P43" s="36"/>
      <c r="Q43" s="36"/>
      <c r="R43" s="36"/>
      <c r="S43" s="37" t="str">
        <f t="shared" si="5"/>
        <v/>
      </c>
      <c r="T43" s="37" t="str">
        <f t="shared" si="6"/>
        <v/>
      </c>
      <c r="U43" s="37" t="str">
        <f t="shared" si="7"/>
        <v/>
      </c>
      <c r="V43" s="37" t="str">
        <f t="shared" si="8"/>
        <v/>
      </c>
      <c r="W43" s="37" t="str">
        <f>IF(OR(K43="",L43=""),"",IF(Methodology!$B$4-L43&gt;K43,"Overdue","Current"))</f>
        <v/>
      </c>
      <c r="X43" s="38" t="str">
        <f>IF(C43="","",IFERROR(INDEX('Risk Register'!$U$6:$U$105,MATCH(C43,'Risk Register'!$A$6:$A$105,0)),""))</f>
        <v/>
      </c>
      <c r="Y43" s="44" t="str">
        <f t="shared" si="9"/>
        <v/>
      </c>
    </row>
    <row r="44" spans="1:25" x14ac:dyDescent="0.35">
      <c r="A44" s="35"/>
      <c r="B44" s="24"/>
      <c r="C44" s="35"/>
      <c r="D44" s="44" t="str">
        <f>IF(C44="","",IFERROR(INDEX('Risk Register'!$B$6:$B$105,MATCH(C44,'Risk Register'!$A$6:$A$105,0)),"Unknown Risk ID"))</f>
        <v/>
      </c>
      <c r="E44" s="38" t="str">
        <f>IF(C44="","",IFERROR(INDEX('Risk Register'!$D$6:$D$105,MATCH(C44,'Risk Register'!$A$6:$A$105,0)),""))</f>
        <v/>
      </c>
      <c r="F44" s="35"/>
      <c r="G44" s="36"/>
      <c r="H44" s="35"/>
      <c r="I44" s="36"/>
      <c r="J44" s="36"/>
      <c r="K44" s="36"/>
      <c r="L44" s="46"/>
      <c r="M44" s="36"/>
      <c r="N44" s="36"/>
      <c r="O44" s="36"/>
      <c r="P44" s="36"/>
      <c r="Q44" s="36"/>
      <c r="R44" s="36"/>
      <c r="S44" s="37" t="str">
        <f t="shared" si="5"/>
        <v/>
      </c>
      <c r="T44" s="37" t="str">
        <f t="shared" si="6"/>
        <v/>
      </c>
      <c r="U44" s="37" t="str">
        <f t="shared" si="7"/>
        <v/>
      </c>
      <c r="V44" s="37" t="str">
        <f t="shared" si="8"/>
        <v/>
      </c>
      <c r="W44" s="37" t="str">
        <f>IF(OR(K44="",L44=""),"",IF(Methodology!$B$4-L44&gt;K44,"Overdue","Current"))</f>
        <v/>
      </c>
      <c r="X44" s="38" t="str">
        <f>IF(C44="","",IFERROR(INDEX('Risk Register'!$U$6:$U$105,MATCH(C44,'Risk Register'!$A$6:$A$105,0)),""))</f>
        <v/>
      </c>
      <c r="Y44" s="44" t="str">
        <f t="shared" si="9"/>
        <v/>
      </c>
    </row>
    <row r="45" spans="1:25" x14ac:dyDescent="0.35">
      <c r="A45" s="35"/>
      <c r="B45" s="24"/>
      <c r="C45" s="35"/>
      <c r="D45" s="44" t="str">
        <f>IF(C45="","",IFERROR(INDEX('Risk Register'!$B$6:$B$105,MATCH(C45,'Risk Register'!$A$6:$A$105,0)),"Unknown Risk ID"))</f>
        <v/>
      </c>
      <c r="E45" s="38" t="str">
        <f>IF(C45="","",IFERROR(INDEX('Risk Register'!$D$6:$D$105,MATCH(C45,'Risk Register'!$A$6:$A$105,0)),""))</f>
        <v/>
      </c>
      <c r="F45" s="35"/>
      <c r="G45" s="36"/>
      <c r="H45" s="35"/>
      <c r="I45" s="36"/>
      <c r="J45" s="36"/>
      <c r="K45" s="36"/>
      <c r="L45" s="46"/>
      <c r="M45" s="36"/>
      <c r="N45" s="36"/>
      <c r="O45" s="36"/>
      <c r="P45" s="36"/>
      <c r="Q45" s="36"/>
      <c r="R45" s="36"/>
      <c r="S45" s="37" t="str">
        <f t="shared" si="5"/>
        <v/>
      </c>
      <c r="T45" s="37" t="str">
        <f t="shared" si="6"/>
        <v/>
      </c>
      <c r="U45" s="37" t="str">
        <f t="shared" si="7"/>
        <v/>
      </c>
      <c r="V45" s="37" t="str">
        <f t="shared" si="8"/>
        <v/>
      </c>
      <c r="W45" s="37" t="str">
        <f>IF(OR(K45="",L45=""),"",IF(Methodology!$B$4-L45&gt;K45,"Overdue","Current"))</f>
        <v/>
      </c>
      <c r="X45" s="38" t="str">
        <f>IF(C45="","",IFERROR(INDEX('Risk Register'!$U$6:$U$105,MATCH(C45,'Risk Register'!$A$6:$A$105,0)),""))</f>
        <v/>
      </c>
      <c r="Y45" s="44" t="str">
        <f t="shared" si="9"/>
        <v/>
      </c>
    </row>
    <row r="46" spans="1:25" x14ac:dyDescent="0.35">
      <c r="A46" s="35"/>
      <c r="B46" s="24"/>
      <c r="C46" s="35"/>
      <c r="D46" s="44" t="str">
        <f>IF(C46="","",IFERROR(INDEX('Risk Register'!$B$6:$B$105,MATCH(C46,'Risk Register'!$A$6:$A$105,0)),"Unknown Risk ID"))</f>
        <v/>
      </c>
      <c r="E46" s="38" t="str">
        <f>IF(C46="","",IFERROR(INDEX('Risk Register'!$D$6:$D$105,MATCH(C46,'Risk Register'!$A$6:$A$105,0)),""))</f>
        <v/>
      </c>
      <c r="F46" s="35"/>
      <c r="G46" s="36"/>
      <c r="H46" s="35"/>
      <c r="I46" s="36"/>
      <c r="J46" s="36"/>
      <c r="K46" s="36"/>
      <c r="L46" s="46"/>
      <c r="M46" s="36"/>
      <c r="N46" s="36"/>
      <c r="O46" s="36"/>
      <c r="P46" s="36"/>
      <c r="Q46" s="36"/>
      <c r="R46" s="36"/>
      <c r="S46" s="37" t="str">
        <f t="shared" si="5"/>
        <v/>
      </c>
      <c r="T46" s="37" t="str">
        <f t="shared" si="6"/>
        <v/>
      </c>
      <c r="U46" s="37" t="str">
        <f t="shared" si="7"/>
        <v/>
      </c>
      <c r="V46" s="37" t="str">
        <f t="shared" si="8"/>
        <v/>
      </c>
      <c r="W46" s="37" t="str">
        <f>IF(OR(K46="",L46=""),"",IF(Methodology!$B$4-L46&gt;K46,"Overdue","Current"))</f>
        <v/>
      </c>
      <c r="X46" s="38" t="str">
        <f>IF(C46="","",IFERROR(INDEX('Risk Register'!$U$6:$U$105,MATCH(C46,'Risk Register'!$A$6:$A$105,0)),""))</f>
        <v/>
      </c>
      <c r="Y46" s="44" t="str">
        <f t="shared" si="9"/>
        <v/>
      </c>
    </row>
    <row r="47" spans="1:25" x14ac:dyDescent="0.35">
      <c r="A47" s="35"/>
      <c r="B47" s="24"/>
      <c r="C47" s="35"/>
      <c r="D47" s="44" t="str">
        <f>IF(C47="","",IFERROR(INDEX('Risk Register'!$B$6:$B$105,MATCH(C47,'Risk Register'!$A$6:$A$105,0)),"Unknown Risk ID"))</f>
        <v/>
      </c>
      <c r="E47" s="38" t="str">
        <f>IF(C47="","",IFERROR(INDEX('Risk Register'!$D$6:$D$105,MATCH(C47,'Risk Register'!$A$6:$A$105,0)),""))</f>
        <v/>
      </c>
      <c r="F47" s="35"/>
      <c r="G47" s="36"/>
      <c r="H47" s="35"/>
      <c r="I47" s="36"/>
      <c r="J47" s="36"/>
      <c r="K47" s="36"/>
      <c r="L47" s="46"/>
      <c r="M47" s="36"/>
      <c r="N47" s="36"/>
      <c r="O47" s="36"/>
      <c r="P47" s="36"/>
      <c r="Q47" s="36"/>
      <c r="R47" s="36"/>
      <c r="S47" s="37" t="str">
        <f t="shared" si="5"/>
        <v/>
      </c>
      <c r="T47" s="37" t="str">
        <f t="shared" si="6"/>
        <v/>
      </c>
      <c r="U47" s="37" t="str">
        <f t="shared" si="7"/>
        <v/>
      </c>
      <c r="V47" s="37" t="str">
        <f t="shared" si="8"/>
        <v/>
      </c>
      <c r="W47" s="37" t="str">
        <f>IF(OR(K47="",L47=""),"",IF(Methodology!$B$4-L47&gt;K47,"Overdue","Current"))</f>
        <v/>
      </c>
      <c r="X47" s="38" t="str">
        <f>IF(C47="","",IFERROR(INDEX('Risk Register'!$U$6:$U$105,MATCH(C47,'Risk Register'!$A$6:$A$105,0)),""))</f>
        <v/>
      </c>
      <c r="Y47" s="44" t="str">
        <f t="shared" si="9"/>
        <v/>
      </c>
    </row>
    <row r="48" spans="1:25" x14ac:dyDescent="0.35">
      <c r="A48" s="35"/>
      <c r="B48" s="24"/>
      <c r="C48" s="35"/>
      <c r="D48" s="44" t="str">
        <f>IF(C48="","",IFERROR(INDEX('Risk Register'!$B$6:$B$105,MATCH(C48,'Risk Register'!$A$6:$A$105,0)),"Unknown Risk ID"))</f>
        <v/>
      </c>
      <c r="E48" s="38" t="str">
        <f>IF(C48="","",IFERROR(INDEX('Risk Register'!$D$6:$D$105,MATCH(C48,'Risk Register'!$A$6:$A$105,0)),""))</f>
        <v/>
      </c>
      <c r="F48" s="35"/>
      <c r="G48" s="36"/>
      <c r="H48" s="35"/>
      <c r="I48" s="36"/>
      <c r="J48" s="36"/>
      <c r="K48" s="36"/>
      <c r="L48" s="46"/>
      <c r="M48" s="36"/>
      <c r="N48" s="36"/>
      <c r="O48" s="36"/>
      <c r="P48" s="36"/>
      <c r="Q48" s="36"/>
      <c r="R48" s="36"/>
      <c r="S48" s="37" t="str">
        <f t="shared" si="5"/>
        <v/>
      </c>
      <c r="T48" s="37" t="str">
        <f t="shared" si="6"/>
        <v/>
      </c>
      <c r="U48" s="37" t="str">
        <f t="shared" si="7"/>
        <v/>
      </c>
      <c r="V48" s="37" t="str">
        <f t="shared" si="8"/>
        <v/>
      </c>
      <c r="W48" s="37" t="str">
        <f>IF(OR(K48="",L48=""),"",IF(Methodology!$B$4-L48&gt;K48,"Overdue","Current"))</f>
        <v/>
      </c>
      <c r="X48" s="38" t="str">
        <f>IF(C48="","",IFERROR(INDEX('Risk Register'!$U$6:$U$105,MATCH(C48,'Risk Register'!$A$6:$A$105,0)),""))</f>
        <v/>
      </c>
      <c r="Y48" s="44" t="str">
        <f t="shared" si="9"/>
        <v/>
      </c>
    </row>
    <row r="49" spans="1:25" x14ac:dyDescent="0.35">
      <c r="A49" s="35"/>
      <c r="B49" s="24"/>
      <c r="C49" s="35"/>
      <c r="D49" s="44" t="str">
        <f>IF(C49="","",IFERROR(INDEX('Risk Register'!$B$6:$B$105,MATCH(C49,'Risk Register'!$A$6:$A$105,0)),"Unknown Risk ID"))</f>
        <v/>
      </c>
      <c r="E49" s="38" t="str">
        <f>IF(C49="","",IFERROR(INDEX('Risk Register'!$D$6:$D$105,MATCH(C49,'Risk Register'!$A$6:$A$105,0)),""))</f>
        <v/>
      </c>
      <c r="F49" s="35"/>
      <c r="G49" s="36"/>
      <c r="H49" s="35"/>
      <c r="I49" s="36"/>
      <c r="J49" s="36"/>
      <c r="K49" s="36"/>
      <c r="L49" s="46"/>
      <c r="M49" s="36"/>
      <c r="N49" s="36"/>
      <c r="O49" s="36"/>
      <c r="P49" s="36"/>
      <c r="Q49" s="36"/>
      <c r="R49" s="36"/>
      <c r="S49" s="37" t="str">
        <f t="shared" si="5"/>
        <v/>
      </c>
      <c r="T49" s="37" t="str">
        <f t="shared" si="6"/>
        <v/>
      </c>
      <c r="U49" s="37" t="str">
        <f t="shared" si="7"/>
        <v/>
      </c>
      <c r="V49" s="37" t="str">
        <f t="shared" si="8"/>
        <v/>
      </c>
      <c r="W49" s="37" t="str">
        <f>IF(OR(K49="",L49=""),"",IF(Methodology!$B$4-L49&gt;K49,"Overdue","Current"))</f>
        <v/>
      </c>
      <c r="X49" s="38" t="str">
        <f>IF(C49="","",IFERROR(INDEX('Risk Register'!$U$6:$U$105,MATCH(C49,'Risk Register'!$A$6:$A$105,0)),""))</f>
        <v/>
      </c>
      <c r="Y49" s="44" t="str">
        <f t="shared" si="9"/>
        <v/>
      </c>
    </row>
    <row r="50" spans="1:25" x14ac:dyDescent="0.35">
      <c r="A50" s="35"/>
      <c r="B50" s="24"/>
      <c r="C50" s="35"/>
      <c r="D50" s="44" t="str">
        <f>IF(C50="","",IFERROR(INDEX('Risk Register'!$B$6:$B$105,MATCH(C50,'Risk Register'!$A$6:$A$105,0)),"Unknown Risk ID"))</f>
        <v/>
      </c>
      <c r="E50" s="38" t="str">
        <f>IF(C50="","",IFERROR(INDEX('Risk Register'!$D$6:$D$105,MATCH(C50,'Risk Register'!$A$6:$A$105,0)),""))</f>
        <v/>
      </c>
      <c r="F50" s="35"/>
      <c r="G50" s="36"/>
      <c r="H50" s="35"/>
      <c r="I50" s="36"/>
      <c r="J50" s="36"/>
      <c r="K50" s="36"/>
      <c r="L50" s="46"/>
      <c r="M50" s="36"/>
      <c r="N50" s="36"/>
      <c r="O50" s="36"/>
      <c r="P50" s="36"/>
      <c r="Q50" s="36"/>
      <c r="R50" s="36"/>
      <c r="S50" s="37" t="str">
        <f t="shared" si="5"/>
        <v/>
      </c>
      <c r="T50" s="37" t="str">
        <f t="shared" si="6"/>
        <v/>
      </c>
      <c r="U50" s="37" t="str">
        <f t="shared" si="7"/>
        <v/>
      </c>
      <c r="V50" s="37" t="str">
        <f t="shared" si="8"/>
        <v/>
      </c>
      <c r="W50" s="37" t="str">
        <f>IF(OR(K50="",L50=""),"",IF(Methodology!$B$4-L50&gt;K50,"Overdue","Current"))</f>
        <v/>
      </c>
      <c r="X50" s="38" t="str">
        <f>IF(C50="","",IFERROR(INDEX('Risk Register'!$U$6:$U$105,MATCH(C50,'Risk Register'!$A$6:$A$105,0)),""))</f>
        <v/>
      </c>
      <c r="Y50" s="44" t="str">
        <f t="shared" si="9"/>
        <v/>
      </c>
    </row>
    <row r="51" spans="1:25" x14ac:dyDescent="0.35">
      <c r="A51" s="35"/>
      <c r="B51" s="24"/>
      <c r="C51" s="35"/>
      <c r="D51" s="44" t="str">
        <f>IF(C51="","",IFERROR(INDEX('Risk Register'!$B$6:$B$105,MATCH(C51,'Risk Register'!$A$6:$A$105,0)),"Unknown Risk ID"))</f>
        <v/>
      </c>
      <c r="E51" s="38" t="str">
        <f>IF(C51="","",IFERROR(INDEX('Risk Register'!$D$6:$D$105,MATCH(C51,'Risk Register'!$A$6:$A$105,0)),""))</f>
        <v/>
      </c>
      <c r="F51" s="35"/>
      <c r="G51" s="36"/>
      <c r="H51" s="35"/>
      <c r="I51" s="36"/>
      <c r="J51" s="36"/>
      <c r="K51" s="36"/>
      <c r="L51" s="46"/>
      <c r="M51" s="36"/>
      <c r="N51" s="36"/>
      <c r="O51" s="36"/>
      <c r="P51" s="36"/>
      <c r="Q51" s="36"/>
      <c r="R51" s="36"/>
      <c r="S51" s="37" t="str">
        <f t="shared" si="5"/>
        <v/>
      </c>
      <c r="T51" s="37" t="str">
        <f t="shared" si="6"/>
        <v/>
      </c>
      <c r="U51" s="37" t="str">
        <f t="shared" si="7"/>
        <v/>
      </c>
      <c r="V51" s="37" t="str">
        <f t="shared" si="8"/>
        <v/>
      </c>
      <c r="W51" s="37" t="str">
        <f>IF(OR(K51="",L51=""),"",IF(Methodology!$B$4-L51&gt;K51,"Overdue","Current"))</f>
        <v/>
      </c>
      <c r="X51" s="38" t="str">
        <f>IF(C51="","",IFERROR(INDEX('Risk Register'!$U$6:$U$105,MATCH(C51,'Risk Register'!$A$6:$A$105,0)),""))</f>
        <v/>
      </c>
      <c r="Y51" s="44" t="str">
        <f t="shared" si="9"/>
        <v/>
      </c>
    </row>
    <row r="52" spans="1:25" x14ac:dyDescent="0.35">
      <c r="A52" s="35"/>
      <c r="B52" s="24"/>
      <c r="C52" s="35"/>
      <c r="D52" s="44" t="str">
        <f>IF(C52="","",IFERROR(INDEX('Risk Register'!$B$6:$B$105,MATCH(C52,'Risk Register'!$A$6:$A$105,0)),"Unknown Risk ID"))</f>
        <v/>
      </c>
      <c r="E52" s="38" t="str">
        <f>IF(C52="","",IFERROR(INDEX('Risk Register'!$D$6:$D$105,MATCH(C52,'Risk Register'!$A$6:$A$105,0)),""))</f>
        <v/>
      </c>
      <c r="F52" s="35"/>
      <c r="G52" s="36"/>
      <c r="H52" s="35"/>
      <c r="I52" s="36"/>
      <c r="J52" s="36"/>
      <c r="K52" s="36"/>
      <c r="L52" s="46"/>
      <c r="M52" s="36"/>
      <c r="N52" s="36"/>
      <c r="O52" s="36"/>
      <c r="P52" s="36"/>
      <c r="Q52" s="36"/>
      <c r="R52" s="36"/>
      <c r="S52" s="37" t="str">
        <f t="shared" si="5"/>
        <v/>
      </c>
      <c r="T52" s="37" t="str">
        <f t="shared" si="6"/>
        <v/>
      </c>
      <c r="U52" s="37" t="str">
        <f t="shared" si="7"/>
        <v/>
      </c>
      <c r="V52" s="37" t="str">
        <f t="shared" si="8"/>
        <v/>
      </c>
      <c r="W52" s="37" t="str">
        <f>IF(OR(K52="",L52=""),"",IF(Methodology!$B$4-L52&gt;K52,"Overdue","Current"))</f>
        <v/>
      </c>
      <c r="X52" s="38" t="str">
        <f>IF(C52="","",IFERROR(INDEX('Risk Register'!$U$6:$U$105,MATCH(C52,'Risk Register'!$A$6:$A$105,0)),""))</f>
        <v/>
      </c>
      <c r="Y52" s="44" t="str">
        <f t="shared" si="9"/>
        <v/>
      </c>
    </row>
    <row r="53" spans="1:25" x14ac:dyDescent="0.35">
      <c r="A53" s="35"/>
      <c r="B53" s="24"/>
      <c r="C53" s="35"/>
      <c r="D53" s="44" t="str">
        <f>IF(C53="","",IFERROR(INDEX('Risk Register'!$B$6:$B$105,MATCH(C53,'Risk Register'!$A$6:$A$105,0)),"Unknown Risk ID"))</f>
        <v/>
      </c>
      <c r="E53" s="38" t="str">
        <f>IF(C53="","",IFERROR(INDEX('Risk Register'!$D$6:$D$105,MATCH(C53,'Risk Register'!$A$6:$A$105,0)),""))</f>
        <v/>
      </c>
      <c r="F53" s="35"/>
      <c r="G53" s="36"/>
      <c r="H53" s="35"/>
      <c r="I53" s="36"/>
      <c r="J53" s="36"/>
      <c r="K53" s="36"/>
      <c r="L53" s="46"/>
      <c r="M53" s="36"/>
      <c r="N53" s="36"/>
      <c r="O53" s="36"/>
      <c r="P53" s="36"/>
      <c r="Q53" s="36"/>
      <c r="R53" s="36"/>
      <c r="S53" s="37" t="str">
        <f t="shared" si="5"/>
        <v/>
      </c>
      <c r="T53" s="37" t="str">
        <f t="shared" si="6"/>
        <v/>
      </c>
      <c r="U53" s="37" t="str">
        <f t="shared" si="7"/>
        <v/>
      </c>
      <c r="V53" s="37" t="str">
        <f t="shared" si="8"/>
        <v/>
      </c>
      <c r="W53" s="37" t="str">
        <f>IF(OR(K53="",L53=""),"",IF(Methodology!$B$4-L53&gt;K53,"Overdue","Current"))</f>
        <v/>
      </c>
      <c r="X53" s="38" t="str">
        <f>IF(C53="","",IFERROR(INDEX('Risk Register'!$U$6:$U$105,MATCH(C53,'Risk Register'!$A$6:$A$105,0)),""))</f>
        <v/>
      </c>
      <c r="Y53" s="44" t="str">
        <f t="shared" si="9"/>
        <v/>
      </c>
    </row>
    <row r="54" spans="1:25" x14ac:dyDescent="0.35">
      <c r="A54" s="35"/>
      <c r="B54" s="24"/>
      <c r="C54" s="35"/>
      <c r="D54" s="44" t="str">
        <f>IF(C54="","",IFERROR(INDEX('Risk Register'!$B$6:$B$105,MATCH(C54,'Risk Register'!$A$6:$A$105,0)),"Unknown Risk ID"))</f>
        <v/>
      </c>
      <c r="E54" s="38" t="str">
        <f>IF(C54="","",IFERROR(INDEX('Risk Register'!$D$6:$D$105,MATCH(C54,'Risk Register'!$A$6:$A$105,0)),""))</f>
        <v/>
      </c>
      <c r="F54" s="35"/>
      <c r="G54" s="36"/>
      <c r="H54" s="35"/>
      <c r="I54" s="36"/>
      <c r="J54" s="36"/>
      <c r="K54" s="36"/>
      <c r="L54" s="46"/>
      <c r="M54" s="36"/>
      <c r="N54" s="36"/>
      <c r="O54" s="36"/>
      <c r="P54" s="36"/>
      <c r="Q54" s="36"/>
      <c r="R54" s="36"/>
      <c r="S54" s="37" t="str">
        <f t="shared" si="5"/>
        <v/>
      </c>
      <c r="T54" s="37" t="str">
        <f t="shared" si="6"/>
        <v/>
      </c>
      <c r="U54" s="37" t="str">
        <f t="shared" si="7"/>
        <v/>
      </c>
      <c r="V54" s="37" t="str">
        <f t="shared" si="8"/>
        <v/>
      </c>
      <c r="W54" s="37" t="str">
        <f>IF(OR(K54="",L54=""),"",IF(Methodology!$B$4-L54&gt;K54,"Overdue","Current"))</f>
        <v/>
      </c>
      <c r="X54" s="38" t="str">
        <f>IF(C54="","",IFERROR(INDEX('Risk Register'!$U$6:$U$105,MATCH(C54,'Risk Register'!$A$6:$A$105,0)),""))</f>
        <v/>
      </c>
      <c r="Y54" s="44" t="str">
        <f t="shared" si="9"/>
        <v/>
      </c>
    </row>
    <row r="55" spans="1:25" x14ac:dyDescent="0.35">
      <c r="A55" s="35"/>
      <c r="B55" s="24"/>
      <c r="C55" s="35"/>
      <c r="D55" s="44" t="str">
        <f>IF(C55="","",IFERROR(INDEX('Risk Register'!$B$6:$B$105,MATCH(C55,'Risk Register'!$A$6:$A$105,0)),"Unknown Risk ID"))</f>
        <v/>
      </c>
      <c r="E55" s="38" t="str">
        <f>IF(C55="","",IFERROR(INDEX('Risk Register'!$D$6:$D$105,MATCH(C55,'Risk Register'!$A$6:$A$105,0)),""))</f>
        <v/>
      </c>
      <c r="F55" s="35"/>
      <c r="G55" s="36"/>
      <c r="H55" s="35"/>
      <c r="I55" s="36"/>
      <c r="J55" s="36"/>
      <c r="K55" s="36"/>
      <c r="L55" s="46"/>
      <c r="M55" s="36"/>
      <c r="N55" s="36"/>
      <c r="O55" s="36"/>
      <c r="P55" s="36"/>
      <c r="Q55" s="36"/>
      <c r="R55" s="36"/>
      <c r="S55" s="37" t="str">
        <f t="shared" si="5"/>
        <v/>
      </c>
      <c r="T55" s="37" t="str">
        <f t="shared" si="6"/>
        <v/>
      </c>
      <c r="U55" s="37" t="str">
        <f t="shared" si="7"/>
        <v/>
      </c>
      <c r="V55" s="37" t="str">
        <f t="shared" si="8"/>
        <v/>
      </c>
      <c r="W55" s="37" t="str">
        <f>IF(OR(K55="",L55=""),"",IF(Methodology!$B$4-L55&gt;K55,"Overdue","Current"))</f>
        <v/>
      </c>
      <c r="X55" s="38" t="str">
        <f>IF(C55="","",IFERROR(INDEX('Risk Register'!$U$6:$U$105,MATCH(C55,'Risk Register'!$A$6:$A$105,0)),""))</f>
        <v/>
      </c>
      <c r="Y55" s="44" t="str">
        <f t="shared" si="9"/>
        <v/>
      </c>
    </row>
    <row r="56" spans="1:25" x14ac:dyDescent="0.35">
      <c r="A56" s="35"/>
      <c r="B56" s="24"/>
      <c r="C56" s="35"/>
      <c r="D56" s="44" t="str">
        <f>IF(C56="","",IFERROR(INDEX('Risk Register'!$B$6:$B$105,MATCH(C56,'Risk Register'!$A$6:$A$105,0)),"Unknown Risk ID"))</f>
        <v/>
      </c>
      <c r="E56" s="38" t="str">
        <f>IF(C56="","",IFERROR(INDEX('Risk Register'!$D$6:$D$105,MATCH(C56,'Risk Register'!$A$6:$A$105,0)),""))</f>
        <v/>
      </c>
      <c r="F56" s="35"/>
      <c r="G56" s="36"/>
      <c r="H56" s="35"/>
      <c r="I56" s="36"/>
      <c r="J56" s="36"/>
      <c r="K56" s="36"/>
      <c r="L56" s="46"/>
      <c r="M56" s="36"/>
      <c r="N56" s="36"/>
      <c r="O56" s="36"/>
      <c r="P56" s="36"/>
      <c r="Q56" s="36"/>
      <c r="R56" s="36"/>
      <c r="S56" s="37" t="str">
        <f t="shared" si="5"/>
        <v/>
      </c>
      <c r="T56" s="37" t="str">
        <f t="shared" si="6"/>
        <v/>
      </c>
      <c r="U56" s="37" t="str">
        <f t="shared" si="7"/>
        <v/>
      </c>
      <c r="V56" s="37" t="str">
        <f t="shared" si="8"/>
        <v/>
      </c>
      <c r="W56" s="37" t="str">
        <f>IF(OR(K56="",L56=""),"",IF(Methodology!$B$4-L56&gt;K56,"Overdue","Current"))</f>
        <v/>
      </c>
      <c r="X56" s="38" t="str">
        <f>IF(C56="","",IFERROR(INDEX('Risk Register'!$U$6:$U$105,MATCH(C56,'Risk Register'!$A$6:$A$105,0)),""))</f>
        <v/>
      </c>
      <c r="Y56" s="44" t="str">
        <f t="shared" si="9"/>
        <v/>
      </c>
    </row>
    <row r="57" spans="1:25" x14ac:dyDescent="0.35">
      <c r="A57" s="35"/>
      <c r="B57" s="24"/>
      <c r="C57" s="35"/>
      <c r="D57" s="44" t="str">
        <f>IF(C57="","",IFERROR(INDEX('Risk Register'!$B$6:$B$105,MATCH(C57,'Risk Register'!$A$6:$A$105,0)),"Unknown Risk ID"))</f>
        <v/>
      </c>
      <c r="E57" s="38" t="str">
        <f>IF(C57="","",IFERROR(INDEX('Risk Register'!$D$6:$D$105,MATCH(C57,'Risk Register'!$A$6:$A$105,0)),""))</f>
        <v/>
      </c>
      <c r="F57" s="35"/>
      <c r="G57" s="36"/>
      <c r="H57" s="35"/>
      <c r="I57" s="36"/>
      <c r="J57" s="36"/>
      <c r="K57" s="36"/>
      <c r="L57" s="46"/>
      <c r="M57" s="36"/>
      <c r="N57" s="36"/>
      <c r="O57" s="36"/>
      <c r="P57" s="36"/>
      <c r="Q57" s="36"/>
      <c r="R57" s="36"/>
      <c r="S57" s="37" t="str">
        <f t="shared" si="5"/>
        <v/>
      </c>
      <c r="T57" s="37" t="str">
        <f t="shared" si="6"/>
        <v/>
      </c>
      <c r="U57" s="37" t="str">
        <f t="shared" si="7"/>
        <v/>
      </c>
      <c r="V57" s="37" t="str">
        <f t="shared" si="8"/>
        <v/>
      </c>
      <c r="W57" s="37" t="str">
        <f>IF(OR(K57="",L57=""),"",IF(Methodology!$B$4-L57&gt;K57,"Overdue","Current"))</f>
        <v/>
      </c>
      <c r="X57" s="38" t="str">
        <f>IF(C57="","",IFERROR(INDEX('Risk Register'!$U$6:$U$105,MATCH(C57,'Risk Register'!$A$6:$A$105,0)),""))</f>
        <v/>
      </c>
      <c r="Y57" s="44" t="str">
        <f t="shared" si="9"/>
        <v/>
      </c>
    </row>
    <row r="58" spans="1:25" x14ac:dyDescent="0.35">
      <c r="A58" s="35"/>
      <c r="B58" s="24"/>
      <c r="C58" s="35"/>
      <c r="D58" s="44" t="str">
        <f>IF(C58="","",IFERROR(INDEX('Risk Register'!$B$6:$B$105,MATCH(C58,'Risk Register'!$A$6:$A$105,0)),"Unknown Risk ID"))</f>
        <v/>
      </c>
      <c r="E58" s="38" t="str">
        <f>IF(C58="","",IFERROR(INDEX('Risk Register'!$D$6:$D$105,MATCH(C58,'Risk Register'!$A$6:$A$105,0)),""))</f>
        <v/>
      </c>
      <c r="F58" s="35"/>
      <c r="G58" s="36"/>
      <c r="H58" s="35"/>
      <c r="I58" s="36"/>
      <c r="J58" s="36"/>
      <c r="K58" s="36"/>
      <c r="L58" s="46"/>
      <c r="M58" s="36"/>
      <c r="N58" s="36"/>
      <c r="O58" s="36"/>
      <c r="P58" s="36"/>
      <c r="Q58" s="36"/>
      <c r="R58" s="36"/>
      <c r="S58" s="37" t="str">
        <f t="shared" si="5"/>
        <v/>
      </c>
      <c r="T58" s="37" t="str">
        <f t="shared" si="6"/>
        <v/>
      </c>
      <c r="U58" s="37" t="str">
        <f t="shared" si="7"/>
        <v/>
      </c>
      <c r="V58" s="37" t="str">
        <f t="shared" si="8"/>
        <v/>
      </c>
      <c r="W58" s="37" t="str">
        <f>IF(OR(K58="",L58=""),"",IF(Methodology!$B$4-L58&gt;K58,"Overdue","Current"))</f>
        <v/>
      </c>
      <c r="X58" s="38" t="str">
        <f>IF(C58="","",IFERROR(INDEX('Risk Register'!$U$6:$U$105,MATCH(C58,'Risk Register'!$A$6:$A$105,0)),""))</f>
        <v/>
      </c>
      <c r="Y58" s="44" t="str">
        <f t="shared" si="9"/>
        <v/>
      </c>
    </row>
    <row r="59" spans="1:25" x14ac:dyDescent="0.35">
      <c r="A59" s="35"/>
      <c r="B59" s="24"/>
      <c r="C59" s="35"/>
      <c r="D59" s="44" t="str">
        <f>IF(C59="","",IFERROR(INDEX('Risk Register'!$B$6:$B$105,MATCH(C59,'Risk Register'!$A$6:$A$105,0)),"Unknown Risk ID"))</f>
        <v/>
      </c>
      <c r="E59" s="38" t="str">
        <f>IF(C59="","",IFERROR(INDEX('Risk Register'!$D$6:$D$105,MATCH(C59,'Risk Register'!$A$6:$A$105,0)),""))</f>
        <v/>
      </c>
      <c r="F59" s="35"/>
      <c r="G59" s="36"/>
      <c r="H59" s="35"/>
      <c r="I59" s="36"/>
      <c r="J59" s="36"/>
      <c r="K59" s="36"/>
      <c r="L59" s="46"/>
      <c r="M59" s="36"/>
      <c r="N59" s="36"/>
      <c r="O59" s="36"/>
      <c r="P59" s="36"/>
      <c r="Q59" s="36"/>
      <c r="R59" s="36"/>
      <c r="S59" s="37" t="str">
        <f t="shared" si="5"/>
        <v/>
      </c>
      <c r="T59" s="37" t="str">
        <f t="shared" si="6"/>
        <v/>
      </c>
      <c r="U59" s="37" t="str">
        <f t="shared" si="7"/>
        <v/>
      </c>
      <c r="V59" s="37" t="str">
        <f t="shared" si="8"/>
        <v/>
      </c>
      <c r="W59" s="37" t="str">
        <f>IF(OR(K59="",L59=""),"",IF(Methodology!$B$4-L59&gt;K59,"Overdue","Current"))</f>
        <v/>
      </c>
      <c r="X59" s="38" t="str">
        <f>IF(C59="","",IFERROR(INDEX('Risk Register'!$U$6:$U$105,MATCH(C59,'Risk Register'!$A$6:$A$105,0)),""))</f>
        <v/>
      </c>
      <c r="Y59" s="44" t="str">
        <f t="shared" si="9"/>
        <v/>
      </c>
    </row>
    <row r="60" spans="1:25" x14ac:dyDescent="0.35">
      <c r="A60" s="35"/>
      <c r="B60" s="24"/>
      <c r="C60" s="35"/>
      <c r="D60" s="44" t="str">
        <f>IF(C60="","",IFERROR(INDEX('Risk Register'!$B$6:$B$105,MATCH(C60,'Risk Register'!$A$6:$A$105,0)),"Unknown Risk ID"))</f>
        <v/>
      </c>
      <c r="E60" s="38" t="str">
        <f>IF(C60="","",IFERROR(INDEX('Risk Register'!$D$6:$D$105,MATCH(C60,'Risk Register'!$A$6:$A$105,0)),""))</f>
        <v/>
      </c>
      <c r="F60" s="35"/>
      <c r="G60" s="36"/>
      <c r="H60" s="35"/>
      <c r="I60" s="36"/>
      <c r="J60" s="36"/>
      <c r="K60" s="36"/>
      <c r="L60" s="46"/>
      <c r="M60" s="36"/>
      <c r="N60" s="36"/>
      <c r="O60" s="36"/>
      <c r="P60" s="36"/>
      <c r="Q60" s="36"/>
      <c r="R60" s="36"/>
      <c r="S60" s="37" t="str">
        <f t="shared" si="5"/>
        <v/>
      </c>
      <c r="T60" s="37" t="str">
        <f t="shared" si="6"/>
        <v/>
      </c>
      <c r="U60" s="37" t="str">
        <f t="shared" si="7"/>
        <v/>
      </c>
      <c r="V60" s="37" t="str">
        <f t="shared" si="8"/>
        <v/>
      </c>
      <c r="W60" s="37" t="str">
        <f>IF(OR(K60="",L60=""),"",IF(Methodology!$B$4-L60&gt;K60,"Overdue","Current"))</f>
        <v/>
      </c>
      <c r="X60" s="38" t="str">
        <f>IF(C60="","",IFERROR(INDEX('Risk Register'!$U$6:$U$105,MATCH(C60,'Risk Register'!$A$6:$A$105,0)),""))</f>
        <v/>
      </c>
      <c r="Y60" s="44" t="str">
        <f t="shared" si="9"/>
        <v/>
      </c>
    </row>
    <row r="61" spans="1:25" x14ac:dyDescent="0.35">
      <c r="A61" s="35"/>
      <c r="B61" s="24"/>
      <c r="C61" s="35"/>
      <c r="D61" s="44" t="str">
        <f>IF(C61="","",IFERROR(INDEX('Risk Register'!$B$6:$B$105,MATCH(C61,'Risk Register'!$A$6:$A$105,0)),"Unknown Risk ID"))</f>
        <v/>
      </c>
      <c r="E61" s="38" t="str">
        <f>IF(C61="","",IFERROR(INDEX('Risk Register'!$D$6:$D$105,MATCH(C61,'Risk Register'!$A$6:$A$105,0)),""))</f>
        <v/>
      </c>
      <c r="F61" s="35"/>
      <c r="G61" s="36"/>
      <c r="H61" s="35"/>
      <c r="I61" s="36"/>
      <c r="J61" s="36"/>
      <c r="K61" s="36"/>
      <c r="L61" s="46"/>
      <c r="M61" s="36"/>
      <c r="N61" s="36"/>
      <c r="O61" s="36"/>
      <c r="P61" s="36"/>
      <c r="Q61" s="36"/>
      <c r="R61" s="36"/>
      <c r="S61" s="37" t="str">
        <f t="shared" si="5"/>
        <v/>
      </c>
      <c r="T61" s="37" t="str">
        <f t="shared" si="6"/>
        <v/>
      </c>
      <c r="U61" s="37" t="str">
        <f t="shared" si="7"/>
        <v/>
      </c>
      <c r="V61" s="37" t="str">
        <f t="shared" si="8"/>
        <v/>
      </c>
      <c r="W61" s="37" t="str">
        <f>IF(OR(K61="",L61=""),"",IF(Methodology!$B$4-L61&gt;K61,"Overdue","Current"))</f>
        <v/>
      </c>
      <c r="X61" s="38" t="str">
        <f>IF(C61="","",IFERROR(INDEX('Risk Register'!$U$6:$U$105,MATCH(C61,'Risk Register'!$A$6:$A$105,0)),""))</f>
        <v/>
      </c>
      <c r="Y61" s="44" t="str">
        <f t="shared" si="9"/>
        <v/>
      </c>
    </row>
    <row r="62" spans="1:25" x14ac:dyDescent="0.35">
      <c r="A62" s="35"/>
      <c r="B62" s="24"/>
      <c r="C62" s="35"/>
      <c r="D62" s="44" t="str">
        <f>IF(C62="","",IFERROR(INDEX('Risk Register'!$B$6:$B$105,MATCH(C62,'Risk Register'!$A$6:$A$105,0)),"Unknown Risk ID"))</f>
        <v/>
      </c>
      <c r="E62" s="38" t="str">
        <f>IF(C62="","",IFERROR(INDEX('Risk Register'!$D$6:$D$105,MATCH(C62,'Risk Register'!$A$6:$A$105,0)),""))</f>
        <v/>
      </c>
      <c r="F62" s="35"/>
      <c r="G62" s="36"/>
      <c r="H62" s="35"/>
      <c r="I62" s="36"/>
      <c r="J62" s="36"/>
      <c r="K62" s="36"/>
      <c r="L62" s="46"/>
      <c r="M62" s="36"/>
      <c r="N62" s="36"/>
      <c r="O62" s="36"/>
      <c r="P62" s="36"/>
      <c r="Q62" s="36"/>
      <c r="R62" s="36"/>
      <c r="S62" s="37" t="str">
        <f t="shared" si="5"/>
        <v/>
      </c>
      <c r="T62" s="37" t="str">
        <f t="shared" si="6"/>
        <v/>
      </c>
      <c r="U62" s="37" t="str">
        <f t="shared" si="7"/>
        <v/>
      </c>
      <c r="V62" s="37" t="str">
        <f t="shared" si="8"/>
        <v/>
      </c>
      <c r="W62" s="37" t="str">
        <f>IF(OR(K62="",L62=""),"",IF(Methodology!$B$4-L62&gt;K62,"Overdue","Current"))</f>
        <v/>
      </c>
      <c r="X62" s="38" t="str">
        <f>IF(C62="","",IFERROR(INDEX('Risk Register'!$U$6:$U$105,MATCH(C62,'Risk Register'!$A$6:$A$105,0)),""))</f>
        <v/>
      </c>
      <c r="Y62" s="44" t="str">
        <f t="shared" si="9"/>
        <v/>
      </c>
    </row>
    <row r="63" spans="1:25" x14ac:dyDescent="0.35">
      <c r="A63" s="35"/>
      <c r="B63" s="24"/>
      <c r="C63" s="35"/>
      <c r="D63" s="44" t="str">
        <f>IF(C63="","",IFERROR(INDEX('Risk Register'!$B$6:$B$105,MATCH(C63,'Risk Register'!$A$6:$A$105,0)),"Unknown Risk ID"))</f>
        <v/>
      </c>
      <c r="E63" s="38" t="str">
        <f>IF(C63="","",IFERROR(INDEX('Risk Register'!$D$6:$D$105,MATCH(C63,'Risk Register'!$A$6:$A$105,0)),""))</f>
        <v/>
      </c>
      <c r="F63" s="35"/>
      <c r="G63" s="36"/>
      <c r="H63" s="35"/>
      <c r="I63" s="36"/>
      <c r="J63" s="36"/>
      <c r="K63" s="36"/>
      <c r="L63" s="46"/>
      <c r="M63" s="36"/>
      <c r="N63" s="36"/>
      <c r="O63" s="36"/>
      <c r="P63" s="36"/>
      <c r="Q63" s="36"/>
      <c r="R63" s="36"/>
      <c r="S63" s="37" t="str">
        <f t="shared" si="5"/>
        <v/>
      </c>
      <c r="T63" s="37" t="str">
        <f t="shared" si="6"/>
        <v/>
      </c>
      <c r="U63" s="37" t="str">
        <f t="shared" si="7"/>
        <v/>
      </c>
      <c r="V63" s="37" t="str">
        <f t="shared" si="8"/>
        <v/>
      </c>
      <c r="W63" s="37" t="str">
        <f>IF(OR(K63="",L63=""),"",IF(Methodology!$B$4-L63&gt;K63,"Overdue","Current"))</f>
        <v/>
      </c>
      <c r="X63" s="38" t="str">
        <f>IF(C63="","",IFERROR(INDEX('Risk Register'!$U$6:$U$105,MATCH(C63,'Risk Register'!$A$6:$A$105,0)),""))</f>
        <v/>
      </c>
      <c r="Y63" s="44" t="str">
        <f t="shared" si="9"/>
        <v/>
      </c>
    </row>
    <row r="64" spans="1:25" x14ac:dyDescent="0.35">
      <c r="A64" s="35"/>
      <c r="B64" s="24"/>
      <c r="C64" s="35"/>
      <c r="D64" s="44" t="str">
        <f>IF(C64="","",IFERROR(INDEX('Risk Register'!$B$6:$B$105,MATCH(C64,'Risk Register'!$A$6:$A$105,0)),"Unknown Risk ID"))</f>
        <v/>
      </c>
      <c r="E64" s="38" t="str">
        <f>IF(C64="","",IFERROR(INDEX('Risk Register'!$D$6:$D$105,MATCH(C64,'Risk Register'!$A$6:$A$105,0)),""))</f>
        <v/>
      </c>
      <c r="F64" s="35"/>
      <c r="G64" s="36"/>
      <c r="H64" s="35"/>
      <c r="I64" s="36"/>
      <c r="J64" s="36"/>
      <c r="K64" s="36"/>
      <c r="L64" s="46"/>
      <c r="M64" s="36"/>
      <c r="N64" s="36"/>
      <c r="O64" s="36"/>
      <c r="P64" s="36"/>
      <c r="Q64" s="36"/>
      <c r="R64" s="36"/>
      <c r="S64" s="37" t="str">
        <f t="shared" si="5"/>
        <v/>
      </c>
      <c r="T64" s="37" t="str">
        <f t="shared" si="6"/>
        <v/>
      </c>
      <c r="U64" s="37" t="str">
        <f t="shared" si="7"/>
        <v/>
      </c>
      <c r="V64" s="37" t="str">
        <f t="shared" si="8"/>
        <v/>
      </c>
      <c r="W64" s="37" t="str">
        <f>IF(OR(K64="",L64=""),"",IF(Methodology!$B$4-L64&gt;K64,"Overdue","Current"))</f>
        <v/>
      </c>
      <c r="X64" s="38" t="str">
        <f>IF(C64="","",IFERROR(INDEX('Risk Register'!$U$6:$U$105,MATCH(C64,'Risk Register'!$A$6:$A$105,0)),""))</f>
        <v/>
      </c>
      <c r="Y64" s="44" t="str">
        <f t="shared" si="9"/>
        <v/>
      </c>
    </row>
    <row r="65" spans="1:25" x14ac:dyDescent="0.35">
      <c r="A65" s="35"/>
      <c r="B65" s="24"/>
      <c r="C65" s="35"/>
      <c r="D65" s="44" t="str">
        <f>IF(C65="","",IFERROR(INDEX('Risk Register'!$B$6:$B$105,MATCH(C65,'Risk Register'!$A$6:$A$105,0)),"Unknown Risk ID"))</f>
        <v/>
      </c>
      <c r="E65" s="38" t="str">
        <f>IF(C65="","",IFERROR(INDEX('Risk Register'!$D$6:$D$105,MATCH(C65,'Risk Register'!$A$6:$A$105,0)),""))</f>
        <v/>
      </c>
      <c r="F65" s="35"/>
      <c r="G65" s="36"/>
      <c r="H65" s="35"/>
      <c r="I65" s="36"/>
      <c r="J65" s="36"/>
      <c r="K65" s="36"/>
      <c r="L65" s="46"/>
      <c r="M65" s="36"/>
      <c r="N65" s="36"/>
      <c r="O65" s="36"/>
      <c r="P65" s="36"/>
      <c r="Q65" s="36"/>
      <c r="R65" s="36"/>
      <c r="S65" s="37" t="str">
        <f t="shared" si="5"/>
        <v/>
      </c>
      <c r="T65" s="37" t="str">
        <f t="shared" si="6"/>
        <v/>
      </c>
      <c r="U65" s="37" t="str">
        <f t="shared" si="7"/>
        <v/>
      </c>
      <c r="V65" s="37" t="str">
        <f t="shared" si="8"/>
        <v/>
      </c>
      <c r="W65" s="37" t="str">
        <f>IF(OR(K65="",L65=""),"",IF(Methodology!$B$4-L65&gt;K65,"Overdue","Current"))</f>
        <v/>
      </c>
      <c r="X65" s="38" t="str">
        <f>IF(C65="","",IFERROR(INDEX('Risk Register'!$U$6:$U$105,MATCH(C65,'Risk Register'!$A$6:$A$105,0)),""))</f>
        <v/>
      </c>
      <c r="Y65" s="44" t="str">
        <f t="shared" si="9"/>
        <v/>
      </c>
    </row>
  </sheetData>
  <autoFilter ref="A5:Y65" xr:uid="{00000000-0001-0000-0800-000000000000}"/>
  <conditionalFormatting sqref="U6:U65">
    <cfRule type="expression" dxfId="46" priority="2">
      <formula>U6="Red"</formula>
    </cfRule>
    <cfRule type="expression" dxfId="45" priority="3">
      <formula>U6="Amber"</formula>
    </cfRule>
    <cfRule type="expression" dxfId="44" priority="4">
      <formula>U6="Green"</formula>
    </cfRule>
  </conditionalFormatting>
  <conditionalFormatting sqref="V6:V65">
    <cfRule type="expression" dxfId="43" priority="5">
      <formula>V6="Worsening"</formula>
    </cfRule>
  </conditionalFormatting>
  <conditionalFormatting sqref="W6:W65">
    <cfRule type="expression" dxfId="42" priority="6">
      <formula>W6="Overdue"</formula>
    </cfRule>
  </conditionalFormatting>
  <conditionalFormatting sqref="Y6:Y65">
    <cfRule type="expression" dxfId="41" priority="7">
      <formula>Y6&lt;&gt;""</formula>
    </cfRule>
  </conditionalFormatting>
  <dataValidations count="1">
    <dataValidation type="list" allowBlank="1" showErrorMessage="1" sqref="H6:H65" xr:uid="{00000000-0002-0000-0800-000001000000}">
      <formula1>"Higher is worse,Lower is worse"</formula1>
      <formula2>0</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r:uid="{00000000-0002-0000-0800-000000000000}">
          <x14:formula1>
            <xm:f>'Risk Register'!$A$6:$A$105</xm:f>
          </x14:formula1>
          <x14:formula2>
            <xm:f>0</xm:f>
          </x14:formula2>
          <xm:sqref>C6:C65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548235"/>
  </sheetPr>
  <dimension ref="A1:P155"/>
  <sheetViews>
    <sheetView showGridLines="0" workbookViewId="0">
      <pane xSplit="3" ySplit="5" topLeftCell="D6" activePane="bottomRight" state="frozen"/>
      <selection pane="topRight"/>
      <selection pane="bottomLeft"/>
      <selection pane="bottomRight" activeCell="D6" sqref="D6"/>
    </sheetView>
  </sheetViews>
  <sheetFormatPr defaultColWidth="8.6328125" defaultRowHeight="14.5" x14ac:dyDescent="0.35"/>
  <cols>
    <col min="1" max="1" width="10" customWidth="1"/>
    <col min="2" max="2" width="9" customWidth="1"/>
    <col min="3" max="3" width="26" customWidth="1"/>
    <col min="4" max="5" width="9" customWidth="1"/>
    <col min="6" max="6" width="34" customWidth="1"/>
    <col min="7" max="7" width="12" customWidth="1"/>
    <col min="8" max="8" width="22" customWidth="1"/>
    <col min="9" max="10" width="18" customWidth="1"/>
    <col min="11" max="11" width="13" customWidth="1"/>
    <col min="12" max="12" width="10" customWidth="1"/>
    <col min="13" max="13" width="13" customWidth="1"/>
    <col min="14" max="14" width="18" customWidth="1"/>
    <col min="15" max="15" width="13" customWidth="1"/>
    <col min="16" max="16" width="32" customWidth="1"/>
  </cols>
  <sheetData>
    <row r="1" spans="1:16" ht="20" x14ac:dyDescent="0.4">
      <c r="A1" s="2" t="s">
        <v>431</v>
      </c>
    </row>
    <row r="2" spans="1:16" x14ac:dyDescent="0.35">
      <c r="A2" s="1" t="s">
        <v>432</v>
      </c>
    </row>
    <row r="5" spans="1:16" ht="57.75" customHeight="1" x14ac:dyDescent="0.35">
      <c r="A5" s="16" t="s">
        <v>433</v>
      </c>
      <c r="B5" s="16" t="s">
        <v>224</v>
      </c>
      <c r="C5" s="16" t="s">
        <v>225</v>
      </c>
      <c r="D5" s="16" t="s">
        <v>313</v>
      </c>
      <c r="E5" s="16" t="s">
        <v>434</v>
      </c>
      <c r="F5" s="16" t="s">
        <v>435</v>
      </c>
      <c r="G5" s="16" t="s">
        <v>436</v>
      </c>
      <c r="H5" s="16" t="s">
        <v>437</v>
      </c>
      <c r="I5" s="16" t="s">
        <v>438</v>
      </c>
      <c r="J5" s="16" t="s">
        <v>439</v>
      </c>
      <c r="K5" s="16" t="s">
        <v>440</v>
      </c>
      <c r="L5" s="16" t="s">
        <v>441</v>
      </c>
      <c r="M5" s="16" t="s">
        <v>442</v>
      </c>
      <c r="N5" s="16" t="s">
        <v>443</v>
      </c>
      <c r="O5" s="16" t="s">
        <v>444</v>
      </c>
      <c r="P5" s="16" t="s">
        <v>333</v>
      </c>
    </row>
    <row r="6" spans="1:16" x14ac:dyDescent="0.35">
      <c r="A6" s="35" t="s">
        <v>445</v>
      </c>
      <c r="B6" s="35" t="s">
        <v>258</v>
      </c>
      <c r="C6" s="44" t="str">
        <f>IF(B6="","",IFERROR(INDEX('Risk Register'!$B$6:$B$105,MATCH(B6,'Risk Register'!$A$6:$A$105,0)),"Unknown Risk ID"))</f>
        <v>Ransomware on production</v>
      </c>
      <c r="D6" s="37">
        <f ca="1">IF(B6="","",IFERROR(INDEX('Risk Register'!$O$6:$O$105,MATCH(B6,'Risk Register'!$A$6:$A$105,0)),""))</f>
        <v>15</v>
      </c>
      <c r="E6" s="35" t="s">
        <v>446</v>
      </c>
      <c r="F6" s="24" t="s">
        <v>447</v>
      </c>
      <c r="G6" s="35" t="s">
        <v>448</v>
      </c>
      <c r="H6" s="35" t="s">
        <v>336</v>
      </c>
      <c r="I6" s="35" t="s">
        <v>449</v>
      </c>
      <c r="J6" s="35" t="s">
        <v>450</v>
      </c>
      <c r="K6" s="46">
        <v>46218</v>
      </c>
      <c r="L6" s="36">
        <v>180</v>
      </c>
      <c r="M6" s="45">
        <f t="shared" ref="M6:M37" si="0">IF(OR(K6="",L6=""),"",K6+L6)</f>
        <v>46398</v>
      </c>
      <c r="N6" s="37" t="str">
        <f t="shared" ref="N6:N37" si="1">IF(OR(A6="",I6="",J6=""),"",IF(OR(I6="Ineffective",J6="Ineffective"),"Ineffective",IF(J6="Not tested","Not tested",IF(OR(I6="Partially effective",J6="Partially effective"),"Partially effective","Effective"))))</f>
        <v>Partially effective</v>
      </c>
      <c r="O6" s="37" t="str">
        <f ca="1">IF(A6="","",IF(M6="","No test date",IF(M6&lt;Methodology!$B$4,"Overdue","Current")))</f>
        <v>Current</v>
      </c>
      <c r="P6" s="24" t="s">
        <v>451</v>
      </c>
    </row>
    <row r="7" spans="1:16" x14ac:dyDescent="0.35">
      <c r="A7" s="35" t="s">
        <v>452</v>
      </c>
      <c r="B7" s="35" t="s">
        <v>258</v>
      </c>
      <c r="C7" s="44" t="str">
        <f>IF(B7="","",IFERROR(INDEX('Risk Register'!$B$6:$B$105,MATCH(B7,'Risk Register'!$A$6:$A$105,0)),"Unknown Risk ID"))</f>
        <v>Ransomware on production</v>
      </c>
      <c r="D7" s="37">
        <f ca="1">IF(B7="","",IFERROR(INDEX('Risk Register'!$O$6:$O$105,MATCH(B7,'Risk Register'!$A$6:$A$105,0)),""))</f>
        <v>15</v>
      </c>
      <c r="E7" s="35" t="s">
        <v>453</v>
      </c>
      <c r="F7" s="24" t="s">
        <v>454</v>
      </c>
      <c r="G7" s="35" t="s">
        <v>455</v>
      </c>
      <c r="H7" s="35" t="s">
        <v>336</v>
      </c>
      <c r="I7" s="35" t="s">
        <v>450</v>
      </c>
      <c r="J7" s="35" t="s">
        <v>456</v>
      </c>
      <c r="K7" s="46"/>
      <c r="L7" s="36">
        <v>180</v>
      </c>
      <c r="M7" s="45" t="str">
        <f t="shared" si="0"/>
        <v/>
      </c>
      <c r="N7" s="37" t="str">
        <f t="shared" si="1"/>
        <v>Not tested</v>
      </c>
      <c r="O7" s="37" t="str">
        <f>IF(A7="","",IF(M7="","No test date",IF(M7&lt;Methodology!$B$4,"Overdue","Current")))</f>
        <v>No test date</v>
      </c>
      <c r="P7" s="24"/>
    </row>
    <row r="8" spans="1:16" x14ac:dyDescent="0.35">
      <c r="A8" s="35" t="s">
        <v>457</v>
      </c>
      <c r="B8" s="35" t="s">
        <v>258</v>
      </c>
      <c r="C8" s="44" t="str">
        <f>IF(B8="","",IFERROR(INDEX('Risk Register'!$B$6:$B$105,MATCH(B8,'Risk Register'!$A$6:$A$105,0)),"Unknown Risk ID"))</f>
        <v>Ransomware on production</v>
      </c>
      <c r="D8" s="37">
        <f ca="1">IF(B8="","",IFERROR(INDEX('Risk Register'!$O$6:$O$105,MATCH(B8,'Risk Register'!$A$6:$A$105,0)),""))</f>
        <v>15</v>
      </c>
      <c r="E8" s="35" t="s">
        <v>458</v>
      </c>
      <c r="F8" s="24" t="s">
        <v>459</v>
      </c>
      <c r="G8" s="35" t="s">
        <v>448</v>
      </c>
      <c r="H8" s="35" t="s">
        <v>415</v>
      </c>
      <c r="I8" s="35" t="s">
        <v>449</v>
      </c>
      <c r="J8" s="35" t="s">
        <v>449</v>
      </c>
      <c r="K8" s="46">
        <v>46143</v>
      </c>
      <c r="L8" s="36">
        <v>180</v>
      </c>
      <c r="M8" s="45">
        <f t="shared" si="0"/>
        <v>46323</v>
      </c>
      <c r="N8" s="37" t="str">
        <f t="shared" si="1"/>
        <v>Effective</v>
      </c>
      <c r="O8" s="37" t="str">
        <f ca="1">IF(A8="","",IF(M8="","No test date",IF(M8&lt;Methodology!$B$4,"Overdue","Current")))</f>
        <v>Current</v>
      </c>
      <c r="P8" s="24"/>
    </row>
    <row r="9" spans="1:16" x14ac:dyDescent="0.35">
      <c r="A9" s="35" t="s">
        <v>460</v>
      </c>
      <c r="B9" s="35" t="s">
        <v>264</v>
      </c>
      <c r="C9" s="44" t="str">
        <f>IF(B9="","",IFERROR(INDEX('Risk Register'!$B$6:$B$105,MATCH(B9,'Risk Register'!$A$6:$A$105,0)),"Unknown Risk ID"))</f>
        <v>SaaS provider data breach</v>
      </c>
      <c r="D9" s="37">
        <f ca="1">IF(B9="","",IFERROR(INDEX('Risk Register'!$O$6:$O$105,MATCH(B9,'Risk Register'!$A$6:$A$105,0)),""))</f>
        <v>16</v>
      </c>
      <c r="E9" s="35" t="s">
        <v>461</v>
      </c>
      <c r="F9" s="24" t="s">
        <v>462</v>
      </c>
      <c r="G9" s="35" t="s">
        <v>463</v>
      </c>
      <c r="H9" s="35" t="s">
        <v>267</v>
      </c>
      <c r="I9" s="35" t="s">
        <v>450</v>
      </c>
      <c r="J9" s="35" t="s">
        <v>464</v>
      </c>
      <c r="K9" s="46">
        <v>46032</v>
      </c>
      <c r="L9" s="36">
        <v>180</v>
      </c>
      <c r="M9" s="45">
        <f t="shared" si="0"/>
        <v>46212</v>
      </c>
      <c r="N9" s="37" t="str">
        <f t="shared" si="1"/>
        <v>Ineffective</v>
      </c>
      <c r="O9" s="37" t="str">
        <f ca="1">IF(A9="","",IF(M9="","No test date",IF(M9&lt;Methodology!$B$4,"Overdue","Current")))</f>
        <v>Overdue</v>
      </c>
      <c r="P9" s="24" t="s">
        <v>465</v>
      </c>
    </row>
    <row r="10" spans="1:16" ht="25" x14ac:dyDescent="0.35">
      <c r="A10" s="35" t="s">
        <v>466</v>
      </c>
      <c r="B10" s="35" t="s">
        <v>270</v>
      </c>
      <c r="C10" s="44" t="str">
        <f>IF(B10="","",IFERROR(INDEX('Risk Register'!$B$6:$B$105,MATCH(B10,'Risk Register'!$A$6:$A$105,0)),"Unknown Risk ID"))</f>
        <v>Sensitive data pasted into AI tools</v>
      </c>
      <c r="D10" s="37">
        <f ca="1">IF(B10="","",IFERROR(INDEX('Risk Register'!$O$6:$O$105,MATCH(B10,'Risk Register'!$A$6:$A$105,0)),""))</f>
        <v>9</v>
      </c>
      <c r="E10" s="35" t="s">
        <v>467</v>
      </c>
      <c r="F10" s="24" t="s">
        <v>468</v>
      </c>
      <c r="G10" s="35" t="s">
        <v>448</v>
      </c>
      <c r="H10" s="35" t="s">
        <v>273</v>
      </c>
      <c r="I10" s="35" t="s">
        <v>450</v>
      </c>
      <c r="J10" s="35" t="s">
        <v>456</v>
      </c>
      <c r="K10" s="46"/>
      <c r="L10" s="36">
        <v>365</v>
      </c>
      <c r="M10" s="45" t="str">
        <f t="shared" si="0"/>
        <v/>
      </c>
      <c r="N10" s="37" t="str">
        <f t="shared" si="1"/>
        <v>Not tested</v>
      </c>
      <c r="O10" s="37" t="str">
        <f>IF(A10="","",IF(M10="","No test date",IF(M10&lt;Methodology!$B$4,"Overdue","Current")))</f>
        <v>No test date</v>
      </c>
      <c r="P10" s="24"/>
    </row>
    <row r="11" spans="1:16" x14ac:dyDescent="0.35">
      <c r="A11" s="35" t="s">
        <v>469</v>
      </c>
      <c r="B11" s="35" t="s">
        <v>275</v>
      </c>
      <c r="C11" s="44" t="str">
        <f>IF(B11="","",IFERROR(INDEX('Risk Register'!$B$6:$B$105,MATCH(B11,'Risk Register'!$A$6:$A$105,0)),"Unknown Risk ID"))</f>
        <v>Missed regulatory deadlines</v>
      </c>
      <c r="D11" s="37">
        <f ca="1">IF(B11="","",IFERROR(INDEX('Risk Register'!$O$6:$O$105,MATCH(B11,'Risk Register'!$A$6:$A$105,0)),""))</f>
        <v>8</v>
      </c>
      <c r="E11" s="35" t="s">
        <v>470</v>
      </c>
      <c r="F11" s="24" t="s">
        <v>471</v>
      </c>
      <c r="G11" s="35" t="s">
        <v>463</v>
      </c>
      <c r="H11" s="35" t="s">
        <v>278</v>
      </c>
      <c r="I11" s="35" t="s">
        <v>449</v>
      </c>
      <c r="J11" s="35" t="s">
        <v>450</v>
      </c>
      <c r="K11" s="46">
        <v>46235</v>
      </c>
      <c r="L11" s="36">
        <v>90</v>
      </c>
      <c r="M11" s="45">
        <f t="shared" si="0"/>
        <v>46325</v>
      </c>
      <c r="N11" s="37" t="str">
        <f t="shared" si="1"/>
        <v>Partially effective</v>
      </c>
      <c r="O11" s="37" t="str">
        <f ca="1">IF(A11="","",IF(M11="","No test date",IF(M11&lt;Methodology!$B$4,"Overdue","Current")))</f>
        <v>Current</v>
      </c>
      <c r="P11" s="24"/>
    </row>
    <row r="12" spans="1:16" x14ac:dyDescent="0.35">
      <c r="A12" s="35" t="s">
        <v>472</v>
      </c>
      <c r="B12" s="35" t="s">
        <v>299</v>
      </c>
      <c r="C12" s="44" t="str">
        <f>IF(B12="","",IFERROR(INDEX('Risk Register'!$B$6:$B$105,MATCH(B12,'Risk Register'!$A$6:$A$105,0)),"Unknown Risk ID"))</f>
        <v>Loss of anchor customer</v>
      </c>
      <c r="D12" s="37">
        <f>IF(B12="","",IFERROR(INDEX('Risk Register'!$O$6:$O$105,MATCH(B12,'Risk Register'!$A$6:$A$105,0)),""))</f>
        <v>10</v>
      </c>
      <c r="E12" s="35" t="s">
        <v>473</v>
      </c>
      <c r="F12" s="24" t="s">
        <v>474</v>
      </c>
      <c r="G12" s="35" t="s">
        <v>463</v>
      </c>
      <c r="H12" s="35" t="s">
        <v>302</v>
      </c>
      <c r="I12" s="35" t="s">
        <v>449</v>
      </c>
      <c r="J12" s="35" t="s">
        <v>449</v>
      </c>
      <c r="K12" s="46">
        <v>46266</v>
      </c>
      <c r="L12" s="36">
        <v>365</v>
      </c>
      <c r="M12" s="45">
        <f t="shared" si="0"/>
        <v>46631</v>
      </c>
      <c r="N12" s="37" t="str">
        <f t="shared" si="1"/>
        <v>Effective</v>
      </c>
      <c r="O12" s="37" t="str">
        <f ca="1">IF(A12="","",IF(M12="","No test date",IF(M12&lt;Methodology!$B$4,"Overdue","Current")))</f>
        <v>Current</v>
      </c>
      <c r="P12" s="24"/>
    </row>
    <row r="13" spans="1:16" x14ac:dyDescent="0.35">
      <c r="A13" s="35"/>
      <c r="B13" s="35"/>
      <c r="C13" s="44" t="str">
        <f>IF(B13="","",IFERROR(INDEX('Risk Register'!$B$6:$B$105,MATCH(B13,'Risk Register'!$A$6:$A$105,0)),"Unknown Risk ID"))</f>
        <v/>
      </c>
      <c r="D13" s="37" t="str">
        <f>IF(B13="","",IFERROR(INDEX('Risk Register'!$O$6:$O$105,MATCH(B13,'Risk Register'!$A$6:$A$105,0)),""))</f>
        <v/>
      </c>
      <c r="E13" s="35"/>
      <c r="F13" s="24"/>
      <c r="G13" s="35"/>
      <c r="H13" s="35"/>
      <c r="I13" s="35"/>
      <c r="J13" s="35"/>
      <c r="K13" s="46"/>
      <c r="L13" s="36"/>
      <c r="M13" s="45" t="str">
        <f t="shared" si="0"/>
        <v/>
      </c>
      <c r="N13" s="37" t="str">
        <f t="shared" si="1"/>
        <v/>
      </c>
      <c r="O13" s="37" t="str">
        <f>IF(A13="","",IF(M13="","No test date",IF(M13&lt;Methodology!$B$4,"Overdue","Current")))</f>
        <v/>
      </c>
      <c r="P13" s="24"/>
    </row>
    <row r="14" spans="1:16" x14ac:dyDescent="0.35">
      <c r="A14" s="35"/>
      <c r="B14" s="35"/>
      <c r="C14" s="44" t="str">
        <f>IF(B14="","",IFERROR(INDEX('Risk Register'!$B$6:$B$105,MATCH(B14,'Risk Register'!$A$6:$A$105,0)),"Unknown Risk ID"))</f>
        <v/>
      </c>
      <c r="D14" s="37" t="str">
        <f>IF(B14="","",IFERROR(INDEX('Risk Register'!$O$6:$O$105,MATCH(B14,'Risk Register'!$A$6:$A$105,0)),""))</f>
        <v/>
      </c>
      <c r="E14" s="35"/>
      <c r="F14" s="24"/>
      <c r="G14" s="35"/>
      <c r="H14" s="35"/>
      <c r="I14" s="35"/>
      <c r="J14" s="35"/>
      <c r="K14" s="46"/>
      <c r="L14" s="36"/>
      <c r="M14" s="45" t="str">
        <f t="shared" si="0"/>
        <v/>
      </c>
      <c r="N14" s="37" t="str">
        <f t="shared" si="1"/>
        <v/>
      </c>
      <c r="O14" s="37" t="str">
        <f>IF(A14="","",IF(M14="","No test date",IF(M14&lt;Methodology!$B$4,"Overdue","Current")))</f>
        <v/>
      </c>
      <c r="P14" s="24"/>
    </row>
    <row r="15" spans="1:16" x14ac:dyDescent="0.35">
      <c r="A15" s="35"/>
      <c r="B15" s="35"/>
      <c r="C15" s="44" t="str">
        <f>IF(B15="","",IFERROR(INDEX('Risk Register'!$B$6:$B$105,MATCH(B15,'Risk Register'!$A$6:$A$105,0)),"Unknown Risk ID"))</f>
        <v/>
      </c>
      <c r="D15" s="37" t="str">
        <f>IF(B15="","",IFERROR(INDEX('Risk Register'!$O$6:$O$105,MATCH(B15,'Risk Register'!$A$6:$A$105,0)),""))</f>
        <v/>
      </c>
      <c r="E15" s="35"/>
      <c r="F15" s="24"/>
      <c r="G15" s="35"/>
      <c r="H15" s="35"/>
      <c r="I15" s="35"/>
      <c r="J15" s="35"/>
      <c r="K15" s="46"/>
      <c r="L15" s="36"/>
      <c r="M15" s="45" t="str">
        <f t="shared" si="0"/>
        <v/>
      </c>
      <c r="N15" s="37" t="str">
        <f t="shared" si="1"/>
        <v/>
      </c>
      <c r="O15" s="37" t="str">
        <f>IF(A15="","",IF(M15="","No test date",IF(M15&lt;Methodology!$B$4,"Overdue","Current")))</f>
        <v/>
      </c>
      <c r="P15" s="24"/>
    </row>
    <row r="16" spans="1:16" x14ac:dyDescent="0.35">
      <c r="A16" s="35"/>
      <c r="B16" s="35"/>
      <c r="C16" s="44" t="str">
        <f>IF(B16="","",IFERROR(INDEX('Risk Register'!$B$6:$B$105,MATCH(B16,'Risk Register'!$A$6:$A$105,0)),"Unknown Risk ID"))</f>
        <v/>
      </c>
      <c r="D16" s="37" t="str">
        <f>IF(B16="","",IFERROR(INDEX('Risk Register'!$O$6:$O$105,MATCH(B16,'Risk Register'!$A$6:$A$105,0)),""))</f>
        <v/>
      </c>
      <c r="E16" s="35"/>
      <c r="F16" s="24"/>
      <c r="G16" s="35"/>
      <c r="H16" s="35"/>
      <c r="I16" s="35"/>
      <c r="J16" s="35"/>
      <c r="K16" s="46"/>
      <c r="L16" s="36"/>
      <c r="M16" s="45" t="str">
        <f t="shared" si="0"/>
        <v/>
      </c>
      <c r="N16" s="37" t="str">
        <f t="shared" si="1"/>
        <v/>
      </c>
      <c r="O16" s="37" t="str">
        <f>IF(A16="","",IF(M16="","No test date",IF(M16&lt;Methodology!$B$4,"Overdue","Current")))</f>
        <v/>
      </c>
      <c r="P16" s="24"/>
    </row>
    <row r="17" spans="1:16" x14ac:dyDescent="0.35">
      <c r="A17" s="35"/>
      <c r="B17" s="35"/>
      <c r="C17" s="44" t="str">
        <f>IF(B17="","",IFERROR(INDEX('Risk Register'!$B$6:$B$105,MATCH(B17,'Risk Register'!$A$6:$A$105,0)),"Unknown Risk ID"))</f>
        <v/>
      </c>
      <c r="D17" s="37" t="str">
        <f>IF(B17="","",IFERROR(INDEX('Risk Register'!$O$6:$O$105,MATCH(B17,'Risk Register'!$A$6:$A$105,0)),""))</f>
        <v/>
      </c>
      <c r="E17" s="35"/>
      <c r="F17" s="24"/>
      <c r="G17" s="35"/>
      <c r="H17" s="35"/>
      <c r="I17" s="35"/>
      <c r="J17" s="35"/>
      <c r="K17" s="46"/>
      <c r="L17" s="36"/>
      <c r="M17" s="45" t="str">
        <f t="shared" si="0"/>
        <v/>
      </c>
      <c r="N17" s="37" t="str">
        <f t="shared" si="1"/>
        <v/>
      </c>
      <c r="O17" s="37" t="str">
        <f>IF(A17="","",IF(M17="","No test date",IF(M17&lt;Methodology!$B$4,"Overdue","Current")))</f>
        <v/>
      </c>
      <c r="P17" s="24"/>
    </row>
    <row r="18" spans="1:16" x14ac:dyDescent="0.35">
      <c r="A18" s="35"/>
      <c r="B18" s="35"/>
      <c r="C18" s="44" t="str">
        <f>IF(B18="","",IFERROR(INDEX('Risk Register'!$B$6:$B$105,MATCH(B18,'Risk Register'!$A$6:$A$105,0)),"Unknown Risk ID"))</f>
        <v/>
      </c>
      <c r="D18" s="37" t="str">
        <f>IF(B18="","",IFERROR(INDEX('Risk Register'!$O$6:$O$105,MATCH(B18,'Risk Register'!$A$6:$A$105,0)),""))</f>
        <v/>
      </c>
      <c r="E18" s="35"/>
      <c r="F18" s="24"/>
      <c r="G18" s="35"/>
      <c r="H18" s="35"/>
      <c r="I18" s="35"/>
      <c r="J18" s="35"/>
      <c r="K18" s="46"/>
      <c r="L18" s="36"/>
      <c r="M18" s="45" t="str">
        <f t="shared" si="0"/>
        <v/>
      </c>
      <c r="N18" s="37" t="str">
        <f t="shared" si="1"/>
        <v/>
      </c>
      <c r="O18" s="37" t="str">
        <f>IF(A18="","",IF(M18="","No test date",IF(M18&lt;Methodology!$B$4,"Overdue","Current")))</f>
        <v/>
      </c>
      <c r="P18" s="24"/>
    </row>
    <row r="19" spans="1:16" x14ac:dyDescent="0.35">
      <c r="A19" s="35"/>
      <c r="B19" s="35"/>
      <c r="C19" s="44" t="str">
        <f>IF(B19="","",IFERROR(INDEX('Risk Register'!$B$6:$B$105,MATCH(B19,'Risk Register'!$A$6:$A$105,0)),"Unknown Risk ID"))</f>
        <v/>
      </c>
      <c r="D19" s="37" t="str">
        <f>IF(B19="","",IFERROR(INDEX('Risk Register'!$O$6:$O$105,MATCH(B19,'Risk Register'!$A$6:$A$105,0)),""))</f>
        <v/>
      </c>
      <c r="E19" s="35"/>
      <c r="F19" s="24"/>
      <c r="G19" s="35"/>
      <c r="H19" s="35"/>
      <c r="I19" s="35"/>
      <c r="J19" s="35"/>
      <c r="K19" s="46"/>
      <c r="L19" s="36"/>
      <c r="M19" s="45" t="str">
        <f t="shared" si="0"/>
        <v/>
      </c>
      <c r="N19" s="37" t="str">
        <f t="shared" si="1"/>
        <v/>
      </c>
      <c r="O19" s="37" t="str">
        <f>IF(A19="","",IF(M19="","No test date",IF(M19&lt;Methodology!$B$4,"Overdue","Current")))</f>
        <v/>
      </c>
      <c r="P19" s="24"/>
    </row>
    <row r="20" spans="1:16" x14ac:dyDescent="0.35">
      <c r="A20" s="35"/>
      <c r="B20" s="35"/>
      <c r="C20" s="44" t="str">
        <f>IF(B20="","",IFERROR(INDEX('Risk Register'!$B$6:$B$105,MATCH(B20,'Risk Register'!$A$6:$A$105,0)),"Unknown Risk ID"))</f>
        <v/>
      </c>
      <c r="D20" s="37" t="str">
        <f>IF(B20="","",IFERROR(INDEX('Risk Register'!$O$6:$O$105,MATCH(B20,'Risk Register'!$A$6:$A$105,0)),""))</f>
        <v/>
      </c>
      <c r="E20" s="35"/>
      <c r="F20" s="24"/>
      <c r="G20" s="35"/>
      <c r="H20" s="35"/>
      <c r="I20" s="35"/>
      <c r="J20" s="35"/>
      <c r="K20" s="46"/>
      <c r="L20" s="36"/>
      <c r="M20" s="45" t="str">
        <f t="shared" si="0"/>
        <v/>
      </c>
      <c r="N20" s="37" t="str">
        <f t="shared" si="1"/>
        <v/>
      </c>
      <c r="O20" s="37" t="str">
        <f>IF(A20="","",IF(M20="","No test date",IF(M20&lt;Methodology!$B$4,"Overdue","Current")))</f>
        <v/>
      </c>
      <c r="P20" s="24"/>
    </row>
    <row r="21" spans="1:16" x14ac:dyDescent="0.35">
      <c r="A21" s="35"/>
      <c r="B21" s="35"/>
      <c r="C21" s="44" t="str">
        <f>IF(B21="","",IFERROR(INDEX('Risk Register'!$B$6:$B$105,MATCH(B21,'Risk Register'!$A$6:$A$105,0)),"Unknown Risk ID"))</f>
        <v/>
      </c>
      <c r="D21" s="37" t="str">
        <f>IF(B21="","",IFERROR(INDEX('Risk Register'!$O$6:$O$105,MATCH(B21,'Risk Register'!$A$6:$A$105,0)),""))</f>
        <v/>
      </c>
      <c r="E21" s="35"/>
      <c r="F21" s="24"/>
      <c r="G21" s="35"/>
      <c r="H21" s="35"/>
      <c r="I21" s="35"/>
      <c r="J21" s="35"/>
      <c r="K21" s="46"/>
      <c r="L21" s="36"/>
      <c r="M21" s="45" t="str">
        <f t="shared" si="0"/>
        <v/>
      </c>
      <c r="N21" s="37" t="str">
        <f t="shared" si="1"/>
        <v/>
      </c>
      <c r="O21" s="37" t="str">
        <f>IF(A21="","",IF(M21="","No test date",IF(M21&lt;Methodology!$B$4,"Overdue","Current")))</f>
        <v/>
      </c>
      <c r="P21" s="24"/>
    </row>
    <row r="22" spans="1:16" x14ac:dyDescent="0.35">
      <c r="A22" s="35"/>
      <c r="B22" s="35"/>
      <c r="C22" s="44" t="str">
        <f>IF(B22="","",IFERROR(INDEX('Risk Register'!$B$6:$B$105,MATCH(B22,'Risk Register'!$A$6:$A$105,0)),"Unknown Risk ID"))</f>
        <v/>
      </c>
      <c r="D22" s="37" t="str">
        <f>IF(B22="","",IFERROR(INDEX('Risk Register'!$O$6:$O$105,MATCH(B22,'Risk Register'!$A$6:$A$105,0)),""))</f>
        <v/>
      </c>
      <c r="E22" s="35"/>
      <c r="F22" s="24"/>
      <c r="G22" s="35"/>
      <c r="H22" s="35"/>
      <c r="I22" s="35"/>
      <c r="J22" s="35"/>
      <c r="K22" s="46"/>
      <c r="L22" s="36"/>
      <c r="M22" s="45" t="str">
        <f t="shared" si="0"/>
        <v/>
      </c>
      <c r="N22" s="37" t="str">
        <f t="shared" si="1"/>
        <v/>
      </c>
      <c r="O22" s="37" t="str">
        <f>IF(A22="","",IF(M22="","No test date",IF(M22&lt;Methodology!$B$4,"Overdue","Current")))</f>
        <v/>
      </c>
      <c r="P22" s="24"/>
    </row>
    <row r="23" spans="1:16" x14ac:dyDescent="0.35">
      <c r="A23" s="35"/>
      <c r="B23" s="35"/>
      <c r="C23" s="44" t="str">
        <f>IF(B23="","",IFERROR(INDEX('Risk Register'!$B$6:$B$105,MATCH(B23,'Risk Register'!$A$6:$A$105,0)),"Unknown Risk ID"))</f>
        <v/>
      </c>
      <c r="D23" s="37" t="str">
        <f>IF(B23="","",IFERROR(INDEX('Risk Register'!$O$6:$O$105,MATCH(B23,'Risk Register'!$A$6:$A$105,0)),""))</f>
        <v/>
      </c>
      <c r="E23" s="35"/>
      <c r="F23" s="24"/>
      <c r="G23" s="35"/>
      <c r="H23" s="35"/>
      <c r="I23" s="35"/>
      <c r="J23" s="35"/>
      <c r="K23" s="46"/>
      <c r="L23" s="36"/>
      <c r="M23" s="45" t="str">
        <f t="shared" si="0"/>
        <v/>
      </c>
      <c r="N23" s="37" t="str">
        <f t="shared" si="1"/>
        <v/>
      </c>
      <c r="O23" s="37" t="str">
        <f>IF(A23="","",IF(M23="","No test date",IF(M23&lt;Methodology!$B$4,"Overdue","Current")))</f>
        <v/>
      </c>
      <c r="P23" s="24"/>
    </row>
    <row r="24" spans="1:16" x14ac:dyDescent="0.35">
      <c r="A24" s="35"/>
      <c r="B24" s="35"/>
      <c r="C24" s="44" t="str">
        <f>IF(B24="","",IFERROR(INDEX('Risk Register'!$B$6:$B$105,MATCH(B24,'Risk Register'!$A$6:$A$105,0)),"Unknown Risk ID"))</f>
        <v/>
      </c>
      <c r="D24" s="37" t="str">
        <f>IF(B24="","",IFERROR(INDEX('Risk Register'!$O$6:$O$105,MATCH(B24,'Risk Register'!$A$6:$A$105,0)),""))</f>
        <v/>
      </c>
      <c r="E24" s="35"/>
      <c r="F24" s="24"/>
      <c r="G24" s="35"/>
      <c r="H24" s="35"/>
      <c r="I24" s="35"/>
      <c r="J24" s="35"/>
      <c r="K24" s="46"/>
      <c r="L24" s="36"/>
      <c r="M24" s="45" t="str">
        <f t="shared" si="0"/>
        <v/>
      </c>
      <c r="N24" s="37" t="str">
        <f t="shared" si="1"/>
        <v/>
      </c>
      <c r="O24" s="37" t="str">
        <f>IF(A24="","",IF(M24="","No test date",IF(M24&lt;Methodology!$B$4,"Overdue","Current")))</f>
        <v/>
      </c>
      <c r="P24" s="24"/>
    </row>
    <row r="25" spans="1:16" x14ac:dyDescent="0.35">
      <c r="A25" s="35"/>
      <c r="B25" s="35"/>
      <c r="C25" s="44" t="str">
        <f>IF(B25="","",IFERROR(INDEX('Risk Register'!$B$6:$B$105,MATCH(B25,'Risk Register'!$A$6:$A$105,0)),"Unknown Risk ID"))</f>
        <v/>
      </c>
      <c r="D25" s="37" t="str">
        <f>IF(B25="","",IFERROR(INDEX('Risk Register'!$O$6:$O$105,MATCH(B25,'Risk Register'!$A$6:$A$105,0)),""))</f>
        <v/>
      </c>
      <c r="E25" s="35"/>
      <c r="F25" s="24"/>
      <c r="G25" s="35"/>
      <c r="H25" s="35"/>
      <c r="I25" s="35"/>
      <c r="J25" s="35"/>
      <c r="K25" s="46"/>
      <c r="L25" s="36"/>
      <c r="M25" s="45" t="str">
        <f t="shared" si="0"/>
        <v/>
      </c>
      <c r="N25" s="37" t="str">
        <f t="shared" si="1"/>
        <v/>
      </c>
      <c r="O25" s="37" t="str">
        <f>IF(A25="","",IF(M25="","No test date",IF(M25&lt;Methodology!$B$4,"Overdue","Current")))</f>
        <v/>
      </c>
      <c r="P25" s="24"/>
    </row>
    <row r="26" spans="1:16" x14ac:dyDescent="0.35">
      <c r="A26" s="35"/>
      <c r="B26" s="35"/>
      <c r="C26" s="44" t="str">
        <f>IF(B26="","",IFERROR(INDEX('Risk Register'!$B$6:$B$105,MATCH(B26,'Risk Register'!$A$6:$A$105,0)),"Unknown Risk ID"))</f>
        <v/>
      </c>
      <c r="D26" s="37" t="str">
        <f>IF(B26="","",IFERROR(INDEX('Risk Register'!$O$6:$O$105,MATCH(B26,'Risk Register'!$A$6:$A$105,0)),""))</f>
        <v/>
      </c>
      <c r="E26" s="35"/>
      <c r="F26" s="24"/>
      <c r="G26" s="35"/>
      <c r="H26" s="35"/>
      <c r="I26" s="35"/>
      <c r="J26" s="35"/>
      <c r="K26" s="46"/>
      <c r="L26" s="36"/>
      <c r="M26" s="45" t="str">
        <f t="shared" si="0"/>
        <v/>
      </c>
      <c r="N26" s="37" t="str">
        <f t="shared" si="1"/>
        <v/>
      </c>
      <c r="O26" s="37" t="str">
        <f>IF(A26="","",IF(M26="","No test date",IF(M26&lt;Methodology!$B$4,"Overdue","Current")))</f>
        <v/>
      </c>
      <c r="P26" s="24"/>
    </row>
    <row r="27" spans="1:16" x14ac:dyDescent="0.35">
      <c r="A27" s="35"/>
      <c r="B27" s="35"/>
      <c r="C27" s="44" t="str">
        <f>IF(B27="","",IFERROR(INDEX('Risk Register'!$B$6:$B$105,MATCH(B27,'Risk Register'!$A$6:$A$105,0)),"Unknown Risk ID"))</f>
        <v/>
      </c>
      <c r="D27" s="37" t="str">
        <f>IF(B27="","",IFERROR(INDEX('Risk Register'!$O$6:$O$105,MATCH(B27,'Risk Register'!$A$6:$A$105,0)),""))</f>
        <v/>
      </c>
      <c r="E27" s="35"/>
      <c r="F27" s="24"/>
      <c r="G27" s="35"/>
      <c r="H27" s="35"/>
      <c r="I27" s="35"/>
      <c r="J27" s="35"/>
      <c r="K27" s="46"/>
      <c r="L27" s="36"/>
      <c r="M27" s="45" t="str">
        <f t="shared" si="0"/>
        <v/>
      </c>
      <c r="N27" s="37" t="str">
        <f t="shared" si="1"/>
        <v/>
      </c>
      <c r="O27" s="37" t="str">
        <f>IF(A27="","",IF(M27="","No test date",IF(M27&lt;Methodology!$B$4,"Overdue","Current")))</f>
        <v/>
      </c>
      <c r="P27" s="24"/>
    </row>
    <row r="28" spans="1:16" x14ac:dyDescent="0.35">
      <c r="A28" s="35"/>
      <c r="B28" s="35"/>
      <c r="C28" s="44" t="str">
        <f>IF(B28="","",IFERROR(INDEX('Risk Register'!$B$6:$B$105,MATCH(B28,'Risk Register'!$A$6:$A$105,0)),"Unknown Risk ID"))</f>
        <v/>
      </c>
      <c r="D28" s="37" t="str">
        <f>IF(B28="","",IFERROR(INDEX('Risk Register'!$O$6:$O$105,MATCH(B28,'Risk Register'!$A$6:$A$105,0)),""))</f>
        <v/>
      </c>
      <c r="E28" s="35"/>
      <c r="F28" s="24"/>
      <c r="G28" s="35"/>
      <c r="H28" s="35"/>
      <c r="I28" s="35"/>
      <c r="J28" s="35"/>
      <c r="K28" s="46"/>
      <c r="L28" s="36"/>
      <c r="M28" s="45" t="str">
        <f t="shared" si="0"/>
        <v/>
      </c>
      <c r="N28" s="37" t="str">
        <f t="shared" si="1"/>
        <v/>
      </c>
      <c r="O28" s="37" t="str">
        <f>IF(A28="","",IF(M28="","No test date",IF(M28&lt;Methodology!$B$4,"Overdue","Current")))</f>
        <v/>
      </c>
      <c r="P28" s="24"/>
    </row>
    <row r="29" spans="1:16" x14ac:dyDescent="0.35">
      <c r="A29" s="35"/>
      <c r="B29" s="35"/>
      <c r="C29" s="44" t="str">
        <f>IF(B29="","",IFERROR(INDEX('Risk Register'!$B$6:$B$105,MATCH(B29,'Risk Register'!$A$6:$A$105,0)),"Unknown Risk ID"))</f>
        <v/>
      </c>
      <c r="D29" s="37" t="str">
        <f>IF(B29="","",IFERROR(INDEX('Risk Register'!$O$6:$O$105,MATCH(B29,'Risk Register'!$A$6:$A$105,0)),""))</f>
        <v/>
      </c>
      <c r="E29" s="35"/>
      <c r="F29" s="24"/>
      <c r="G29" s="35"/>
      <c r="H29" s="35"/>
      <c r="I29" s="35"/>
      <c r="J29" s="35"/>
      <c r="K29" s="46"/>
      <c r="L29" s="36"/>
      <c r="M29" s="45" t="str">
        <f t="shared" si="0"/>
        <v/>
      </c>
      <c r="N29" s="37" t="str">
        <f t="shared" si="1"/>
        <v/>
      </c>
      <c r="O29" s="37" t="str">
        <f>IF(A29="","",IF(M29="","No test date",IF(M29&lt;Methodology!$B$4,"Overdue","Current")))</f>
        <v/>
      </c>
      <c r="P29" s="24"/>
    </row>
    <row r="30" spans="1:16" x14ac:dyDescent="0.35">
      <c r="A30" s="35"/>
      <c r="B30" s="35"/>
      <c r="C30" s="44" t="str">
        <f>IF(B30="","",IFERROR(INDEX('Risk Register'!$B$6:$B$105,MATCH(B30,'Risk Register'!$A$6:$A$105,0)),"Unknown Risk ID"))</f>
        <v/>
      </c>
      <c r="D30" s="37" t="str">
        <f>IF(B30="","",IFERROR(INDEX('Risk Register'!$O$6:$O$105,MATCH(B30,'Risk Register'!$A$6:$A$105,0)),""))</f>
        <v/>
      </c>
      <c r="E30" s="35"/>
      <c r="F30" s="24"/>
      <c r="G30" s="35"/>
      <c r="H30" s="35"/>
      <c r="I30" s="35"/>
      <c r="J30" s="35"/>
      <c r="K30" s="46"/>
      <c r="L30" s="36"/>
      <c r="M30" s="45" t="str">
        <f t="shared" si="0"/>
        <v/>
      </c>
      <c r="N30" s="37" t="str">
        <f t="shared" si="1"/>
        <v/>
      </c>
      <c r="O30" s="37" t="str">
        <f>IF(A30="","",IF(M30="","No test date",IF(M30&lt;Methodology!$B$4,"Overdue","Current")))</f>
        <v/>
      </c>
      <c r="P30" s="24"/>
    </row>
    <row r="31" spans="1:16" x14ac:dyDescent="0.35">
      <c r="A31" s="35"/>
      <c r="B31" s="35"/>
      <c r="C31" s="44" t="str">
        <f>IF(B31="","",IFERROR(INDEX('Risk Register'!$B$6:$B$105,MATCH(B31,'Risk Register'!$A$6:$A$105,0)),"Unknown Risk ID"))</f>
        <v/>
      </c>
      <c r="D31" s="37" t="str">
        <f>IF(B31="","",IFERROR(INDEX('Risk Register'!$O$6:$O$105,MATCH(B31,'Risk Register'!$A$6:$A$105,0)),""))</f>
        <v/>
      </c>
      <c r="E31" s="35"/>
      <c r="F31" s="24"/>
      <c r="G31" s="35"/>
      <c r="H31" s="35"/>
      <c r="I31" s="35"/>
      <c r="J31" s="35"/>
      <c r="K31" s="46"/>
      <c r="L31" s="36"/>
      <c r="M31" s="45" t="str">
        <f t="shared" si="0"/>
        <v/>
      </c>
      <c r="N31" s="37" t="str">
        <f t="shared" si="1"/>
        <v/>
      </c>
      <c r="O31" s="37" t="str">
        <f>IF(A31="","",IF(M31="","No test date",IF(M31&lt;Methodology!$B$4,"Overdue","Current")))</f>
        <v/>
      </c>
      <c r="P31" s="24"/>
    </row>
    <row r="32" spans="1:16" x14ac:dyDescent="0.35">
      <c r="A32" s="35"/>
      <c r="B32" s="35"/>
      <c r="C32" s="44" t="str">
        <f>IF(B32="","",IFERROR(INDEX('Risk Register'!$B$6:$B$105,MATCH(B32,'Risk Register'!$A$6:$A$105,0)),"Unknown Risk ID"))</f>
        <v/>
      </c>
      <c r="D32" s="37" t="str">
        <f>IF(B32="","",IFERROR(INDEX('Risk Register'!$O$6:$O$105,MATCH(B32,'Risk Register'!$A$6:$A$105,0)),""))</f>
        <v/>
      </c>
      <c r="E32" s="35"/>
      <c r="F32" s="24"/>
      <c r="G32" s="35"/>
      <c r="H32" s="35"/>
      <c r="I32" s="35"/>
      <c r="J32" s="35"/>
      <c r="K32" s="46"/>
      <c r="L32" s="36"/>
      <c r="M32" s="45" t="str">
        <f t="shared" si="0"/>
        <v/>
      </c>
      <c r="N32" s="37" t="str">
        <f t="shared" si="1"/>
        <v/>
      </c>
      <c r="O32" s="37" t="str">
        <f>IF(A32="","",IF(M32="","No test date",IF(M32&lt;Methodology!$B$4,"Overdue","Current")))</f>
        <v/>
      </c>
      <c r="P32" s="24"/>
    </row>
    <row r="33" spans="1:16" x14ac:dyDescent="0.35">
      <c r="A33" s="35"/>
      <c r="B33" s="35"/>
      <c r="C33" s="44" t="str">
        <f>IF(B33="","",IFERROR(INDEX('Risk Register'!$B$6:$B$105,MATCH(B33,'Risk Register'!$A$6:$A$105,0)),"Unknown Risk ID"))</f>
        <v/>
      </c>
      <c r="D33" s="37" t="str">
        <f>IF(B33="","",IFERROR(INDEX('Risk Register'!$O$6:$O$105,MATCH(B33,'Risk Register'!$A$6:$A$105,0)),""))</f>
        <v/>
      </c>
      <c r="E33" s="35"/>
      <c r="F33" s="24"/>
      <c r="G33" s="35"/>
      <c r="H33" s="35"/>
      <c r="I33" s="35"/>
      <c r="J33" s="35"/>
      <c r="K33" s="46"/>
      <c r="L33" s="36"/>
      <c r="M33" s="45" t="str">
        <f t="shared" si="0"/>
        <v/>
      </c>
      <c r="N33" s="37" t="str">
        <f t="shared" si="1"/>
        <v/>
      </c>
      <c r="O33" s="37" t="str">
        <f>IF(A33="","",IF(M33="","No test date",IF(M33&lt;Methodology!$B$4,"Overdue","Current")))</f>
        <v/>
      </c>
      <c r="P33" s="24"/>
    </row>
    <row r="34" spans="1:16" x14ac:dyDescent="0.35">
      <c r="A34" s="35"/>
      <c r="B34" s="35"/>
      <c r="C34" s="44" t="str">
        <f>IF(B34="","",IFERROR(INDEX('Risk Register'!$B$6:$B$105,MATCH(B34,'Risk Register'!$A$6:$A$105,0)),"Unknown Risk ID"))</f>
        <v/>
      </c>
      <c r="D34" s="37" t="str">
        <f>IF(B34="","",IFERROR(INDEX('Risk Register'!$O$6:$O$105,MATCH(B34,'Risk Register'!$A$6:$A$105,0)),""))</f>
        <v/>
      </c>
      <c r="E34" s="35"/>
      <c r="F34" s="24"/>
      <c r="G34" s="35"/>
      <c r="H34" s="35"/>
      <c r="I34" s="35"/>
      <c r="J34" s="35"/>
      <c r="K34" s="46"/>
      <c r="L34" s="36"/>
      <c r="M34" s="45" t="str">
        <f t="shared" si="0"/>
        <v/>
      </c>
      <c r="N34" s="37" t="str">
        <f t="shared" si="1"/>
        <v/>
      </c>
      <c r="O34" s="37" t="str">
        <f>IF(A34="","",IF(M34="","No test date",IF(M34&lt;Methodology!$B$4,"Overdue","Current")))</f>
        <v/>
      </c>
      <c r="P34" s="24"/>
    </row>
    <row r="35" spans="1:16" x14ac:dyDescent="0.35">
      <c r="A35" s="35"/>
      <c r="B35" s="35"/>
      <c r="C35" s="44" t="str">
        <f>IF(B35="","",IFERROR(INDEX('Risk Register'!$B$6:$B$105,MATCH(B35,'Risk Register'!$A$6:$A$105,0)),"Unknown Risk ID"))</f>
        <v/>
      </c>
      <c r="D35" s="37" t="str">
        <f>IF(B35="","",IFERROR(INDEX('Risk Register'!$O$6:$O$105,MATCH(B35,'Risk Register'!$A$6:$A$105,0)),""))</f>
        <v/>
      </c>
      <c r="E35" s="35"/>
      <c r="F35" s="24"/>
      <c r="G35" s="35"/>
      <c r="H35" s="35"/>
      <c r="I35" s="35"/>
      <c r="J35" s="35"/>
      <c r="K35" s="46"/>
      <c r="L35" s="36"/>
      <c r="M35" s="45" t="str">
        <f t="shared" si="0"/>
        <v/>
      </c>
      <c r="N35" s="37" t="str">
        <f t="shared" si="1"/>
        <v/>
      </c>
      <c r="O35" s="37" t="str">
        <f>IF(A35="","",IF(M35="","No test date",IF(M35&lt;Methodology!$B$4,"Overdue","Current")))</f>
        <v/>
      </c>
      <c r="P35" s="24"/>
    </row>
    <row r="36" spans="1:16" x14ac:dyDescent="0.35">
      <c r="A36" s="35"/>
      <c r="B36" s="35"/>
      <c r="C36" s="44" t="str">
        <f>IF(B36="","",IFERROR(INDEX('Risk Register'!$B$6:$B$105,MATCH(B36,'Risk Register'!$A$6:$A$105,0)),"Unknown Risk ID"))</f>
        <v/>
      </c>
      <c r="D36" s="37" t="str">
        <f>IF(B36="","",IFERROR(INDEX('Risk Register'!$O$6:$O$105,MATCH(B36,'Risk Register'!$A$6:$A$105,0)),""))</f>
        <v/>
      </c>
      <c r="E36" s="35"/>
      <c r="F36" s="24"/>
      <c r="G36" s="35"/>
      <c r="H36" s="35"/>
      <c r="I36" s="35"/>
      <c r="J36" s="35"/>
      <c r="K36" s="46"/>
      <c r="L36" s="36"/>
      <c r="M36" s="45" t="str">
        <f t="shared" si="0"/>
        <v/>
      </c>
      <c r="N36" s="37" t="str">
        <f t="shared" si="1"/>
        <v/>
      </c>
      <c r="O36" s="37" t="str">
        <f>IF(A36="","",IF(M36="","No test date",IF(M36&lt;Methodology!$B$4,"Overdue","Current")))</f>
        <v/>
      </c>
      <c r="P36" s="24"/>
    </row>
    <row r="37" spans="1:16" x14ac:dyDescent="0.35">
      <c r="A37" s="35"/>
      <c r="B37" s="35"/>
      <c r="C37" s="44" t="str">
        <f>IF(B37="","",IFERROR(INDEX('Risk Register'!$B$6:$B$105,MATCH(B37,'Risk Register'!$A$6:$A$105,0)),"Unknown Risk ID"))</f>
        <v/>
      </c>
      <c r="D37" s="37" t="str">
        <f>IF(B37="","",IFERROR(INDEX('Risk Register'!$O$6:$O$105,MATCH(B37,'Risk Register'!$A$6:$A$105,0)),""))</f>
        <v/>
      </c>
      <c r="E37" s="35"/>
      <c r="F37" s="24"/>
      <c r="G37" s="35"/>
      <c r="H37" s="35"/>
      <c r="I37" s="35"/>
      <c r="J37" s="35"/>
      <c r="K37" s="46"/>
      <c r="L37" s="36"/>
      <c r="M37" s="45" t="str">
        <f t="shared" si="0"/>
        <v/>
      </c>
      <c r="N37" s="37" t="str">
        <f t="shared" si="1"/>
        <v/>
      </c>
      <c r="O37" s="37" t="str">
        <f>IF(A37="","",IF(M37="","No test date",IF(M37&lt;Methodology!$B$4,"Overdue","Current")))</f>
        <v/>
      </c>
      <c r="P37" s="24"/>
    </row>
    <row r="38" spans="1:16" x14ac:dyDescent="0.35">
      <c r="A38" s="35"/>
      <c r="B38" s="35"/>
      <c r="C38" s="44" t="str">
        <f>IF(B38="","",IFERROR(INDEX('Risk Register'!$B$6:$B$105,MATCH(B38,'Risk Register'!$A$6:$A$105,0)),"Unknown Risk ID"))</f>
        <v/>
      </c>
      <c r="D38" s="37" t="str">
        <f>IF(B38="","",IFERROR(INDEX('Risk Register'!$O$6:$O$105,MATCH(B38,'Risk Register'!$A$6:$A$105,0)),""))</f>
        <v/>
      </c>
      <c r="E38" s="35"/>
      <c r="F38" s="24"/>
      <c r="G38" s="35"/>
      <c r="H38" s="35"/>
      <c r="I38" s="35"/>
      <c r="J38" s="35"/>
      <c r="K38" s="46"/>
      <c r="L38" s="36"/>
      <c r="M38" s="45" t="str">
        <f t="shared" ref="M38:M69" si="2">IF(OR(K38="",L38=""),"",K38+L38)</f>
        <v/>
      </c>
      <c r="N38" s="37" t="str">
        <f t="shared" ref="N38:N69" si="3">IF(OR(A38="",I38="",J38=""),"",IF(OR(I38="Ineffective",J38="Ineffective"),"Ineffective",IF(J38="Not tested","Not tested",IF(OR(I38="Partially effective",J38="Partially effective"),"Partially effective","Effective"))))</f>
        <v/>
      </c>
      <c r="O38" s="37" t="str">
        <f>IF(A38="","",IF(M38="","No test date",IF(M38&lt;Methodology!$B$4,"Overdue","Current")))</f>
        <v/>
      </c>
      <c r="P38" s="24"/>
    </row>
    <row r="39" spans="1:16" x14ac:dyDescent="0.35">
      <c r="A39" s="35"/>
      <c r="B39" s="35"/>
      <c r="C39" s="44" t="str">
        <f>IF(B39="","",IFERROR(INDEX('Risk Register'!$B$6:$B$105,MATCH(B39,'Risk Register'!$A$6:$A$105,0)),"Unknown Risk ID"))</f>
        <v/>
      </c>
      <c r="D39" s="37" t="str">
        <f>IF(B39="","",IFERROR(INDEX('Risk Register'!$O$6:$O$105,MATCH(B39,'Risk Register'!$A$6:$A$105,0)),""))</f>
        <v/>
      </c>
      <c r="E39" s="35"/>
      <c r="F39" s="24"/>
      <c r="G39" s="35"/>
      <c r="H39" s="35"/>
      <c r="I39" s="35"/>
      <c r="J39" s="35"/>
      <c r="K39" s="46"/>
      <c r="L39" s="36"/>
      <c r="M39" s="45" t="str">
        <f t="shared" si="2"/>
        <v/>
      </c>
      <c r="N39" s="37" t="str">
        <f t="shared" si="3"/>
        <v/>
      </c>
      <c r="O39" s="37" t="str">
        <f>IF(A39="","",IF(M39="","No test date",IF(M39&lt;Methodology!$B$4,"Overdue","Current")))</f>
        <v/>
      </c>
      <c r="P39" s="24"/>
    </row>
    <row r="40" spans="1:16" x14ac:dyDescent="0.35">
      <c r="A40" s="35"/>
      <c r="B40" s="35"/>
      <c r="C40" s="44" t="str">
        <f>IF(B40="","",IFERROR(INDEX('Risk Register'!$B$6:$B$105,MATCH(B40,'Risk Register'!$A$6:$A$105,0)),"Unknown Risk ID"))</f>
        <v/>
      </c>
      <c r="D40" s="37" t="str">
        <f>IF(B40="","",IFERROR(INDEX('Risk Register'!$O$6:$O$105,MATCH(B40,'Risk Register'!$A$6:$A$105,0)),""))</f>
        <v/>
      </c>
      <c r="E40" s="35"/>
      <c r="F40" s="24"/>
      <c r="G40" s="35"/>
      <c r="H40" s="35"/>
      <c r="I40" s="35"/>
      <c r="J40" s="35"/>
      <c r="K40" s="46"/>
      <c r="L40" s="36"/>
      <c r="M40" s="45" t="str">
        <f t="shared" si="2"/>
        <v/>
      </c>
      <c r="N40" s="37" t="str">
        <f t="shared" si="3"/>
        <v/>
      </c>
      <c r="O40" s="37" t="str">
        <f>IF(A40="","",IF(M40="","No test date",IF(M40&lt;Methodology!$B$4,"Overdue","Current")))</f>
        <v/>
      </c>
      <c r="P40" s="24"/>
    </row>
    <row r="41" spans="1:16" x14ac:dyDescent="0.35">
      <c r="A41" s="35"/>
      <c r="B41" s="35"/>
      <c r="C41" s="44" t="str">
        <f>IF(B41="","",IFERROR(INDEX('Risk Register'!$B$6:$B$105,MATCH(B41,'Risk Register'!$A$6:$A$105,0)),"Unknown Risk ID"))</f>
        <v/>
      </c>
      <c r="D41" s="37" t="str">
        <f>IF(B41="","",IFERROR(INDEX('Risk Register'!$O$6:$O$105,MATCH(B41,'Risk Register'!$A$6:$A$105,0)),""))</f>
        <v/>
      </c>
      <c r="E41" s="35"/>
      <c r="F41" s="24"/>
      <c r="G41" s="35"/>
      <c r="H41" s="35"/>
      <c r="I41" s="35"/>
      <c r="J41" s="35"/>
      <c r="K41" s="46"/>
      <c r="L41" s="36"/>
      <c r="M41" s="45" t="str">
        <f t="shared" si="2"/>
        <v/>
      </c>
      <c r="N41" s="37" t="str">
        <f t="shared" si="3"/>
        <v/>
      </c>
      <c r="O41" s="37" t="str">
        <f>IF(A41="","",IF(M41="","No test date",IF(M41&lt;Methodology!$B$4,"Overdue","Current")))</f>
        <v/>
      </c>
      <c r="P41" s="24"/>
    </row>
    <row r="42" spans="1:16" x14ac:dyDescent="0.35">
      <c r="A42" s="35"/>
      <c r="B42" s="35"/>
      <c r="C42" s="44" t="str">
        <f>IF(B42="","",IFERROR(INDEX('Risk Register'!$B$6:$B$105,MATCH(B42,'Risk Register'!$A$6:$A$105,0)),"Unknown Risk ID"))</f>
        <v/>
      </c>
      <c r="D42" s="37" t="str">
        <f>IF(B42="","",IFERROR(INDEX('Risk Register'!$O$6:$O$105,MATCH(B42,'Risk Register'!$A$6:$A$105,0)),""))</f>
        <v/>
      </c>
      <c r="E42" s="35"/>
      <c r="F42" s="24"/>
      <c r="G42" s="35"/>
      <c r="H42" s="35"/>
      <c r="I42" s="35"/>
      <c r="J42" s="35"/>
      <c r="K42" s="46"/>
      <c r="L42" s="36"/>
      <c r="M42" s="45" t="str">
        <f t="shared" si="2"/>
        <v/>
      </c>
      <c r="N42" s="37" t="str">
        <f t="shared" si="3"/>
        <v/>
      </c>
      <c r="O42" s="37" t="str">
        <f>IF(A42="","",IF(M42="","No test date",IF(M42&lt;Methodology!$B$4,"Overdue","Current")))</f>
        <v/>
      </c>
      <c r="P42" s="24"/>
    </row>
    <row r="43" spans="1:16" x14ac:dyDescent="0.35">
      <c r="A43" s="35"/>
      <c r="B43" s="35"/>
      <c r="C43" s="44" t="str">
        <f>IF(B43="","",IFERROR(INDEX('Risk Register'!$B$6:$B$105,MATCH(B43,'Risk Register'!$A$6:$A$105,0)),"Unknown Risk ID"))</f>
        <v/>
      </c>
      <c r="D43" s="37" t="str">
        <f>IF(B43="","",IFERROR(INDEX('Risk Register'!$O$6:$O$105,MATCH(B43,'Risk Register'!$A$6:$A$105,0)),""))</f>
        <v/>
      </c>
      <c r="E43" s="35"/>
      <c r="F43" s="24"/>
      <c r="G43" s="35"/>
      <c r="H43" s="35"/>
      <c r="I43" s="35"/>
      <c r="J43" s="35"/>
      <c r="K43" s="46"/>
      <c r="L43" s="36"/>
      <c r="M43" s="45" t="str">
        <f t="shared" si="2"/>
        <v/>
      </c>
      <c r="N43" s="37" t="str">
        <f t="shared" si="3"/>
        <v/>
      </c>
      <c r="O43" s="37" t="str">
        <f>IF(A43="","",IF(M43="","No test date",IF(M43&lt;Methodology!$B$4,"Overdue","Current")))</f>
        <v/>
      </c>
      <c r="P43" s="24"/>
    </row>
    <row r="44" spans="1:16" x14ac:dyDescent="0.35">
      <c r="A44" s="35"/>
      <c r="B44" s="35"/>
      <c r="C44" s="44" t="str">
        <f>IF(B44="","",IFERROR(INDEX('Risk Register'!$B$6:$B$105,MATCH(B44,'Risk Register'!$A$6:$A$105,0)),"Unknown Risk ID"))</f>
        <v/>
      </c>
      <c r="D44" s="37" t="str">
        <f>IF(B44="","",IFERROR(INDEX('Risk Register'!$O$6:$O$105,MATCH(B44,'Risk Register'!$A$6:$A$105,0)),""))</f>
        <v/>
      </c>
      <c r="E44" s="35"/>
      <c r="F44" s="24"/>
      <c r="G44" s="35"/>
      <c r="H44" s="35"/>
      <c r="I44" s="35"/>
      <c r="J44" s="35"/>
      <c r="K44" s="46"/>
      <c r="L44" s="36"/>
      <c r="M44" s="45" t="str">
        <f t="shared" si="2"/>
        <v/>
      </c>
      <c r="N44" s="37" t="str">
        <f t="shared" si="3"/>
        <v/>
      </c>
      <c r="O44" s="37" t="str">
        <f>IF(A44="","",IF(M44="","No test date",IF(M44&lt;Methodology!$B$4,"Overdue","Current")))</f>
        <v/>
      </c>
      <c r="P44" s="24"/>
    </row>
    <row r="45" spans="1:16" x14ac:dyDescent="0.35">
      <c r="A45" s="35"/>
      <c r="B45" s="35"/>
      <c r="C45" s="44" t="str">
        <f>IF(B45="","",IFERROR(INDEX('Risk Register'!$B$6:$B$105,MATCH(B45,'Risk Register'!$A$6:$A$105,0)),"Unknown Risk ID"))</f>
        <v/>
      </c>
      <c r="D45" s="37" t="str">
        <f>IF(B45="","",IFERROR(INDEX('Risk Register'!$O$6:$O$105,MATCH(B45,'Risk Register'!$A$6:$A$105,0)),""))</f>
        <v/>
      </c>
      <c r="E45" s="35"/>
      <c r="F45" s="24"/>
      <c r="G45" s="35"/>
      <c r="H45" s="35"/>
      <c r="I45" s="35"/>
      <c r="J45" s="35"/>
      <c r="K45" s="46"/>
      <c r="L45" s="36"/>
      <c r="M45" s="45" t="str">
        <f t="shared" si="2"/>
        <v/>
      </c>
      <c r="N45" s="37" t="str">
        <f t="shared" si="3"/>
        <v/>
      </c>
      <c r="O45" s="37" t="str">
        <f>IF(A45="","",IF(M45="","No test date",IF(M45&lt;Methodology!$B$4,"Overdue","Current")))</f>
        <v/>
      </c>
      <c r="P45" s="24"/>
    </row>
    <row r="46" spans="1:16" x14ac:dyDescent="0.35">
      <c r="A46" s="35"/>
      <c r="B46" s="35"/>
      <c r="C46" s="44" t="str">
        <f>IF(B46="","",IFERROR(INDEX('Risk Register'!$B$6:$B$105,MATCH(B46,'Risk Register'!$A$6:$A$105,0)),"Unknown Risk ID"))</f>
        <v/>
      </c>
      <c r="D46" s="37" t="str">
        <f>IF(B46="","",IFERROR(INDEX('Risk Register'!$O$6:$O$105,MATCH(B46,'Risk Register'!$A$6:$A$105,0)),""))</f>
        <v/>
      </c>
      <c r="E46" s="35"/>
      <c r="F46" s="24"/>
      <c r="G46" s="35"/>
      <c r="H46" s="35"/>
      <c r="I46" s="35"/>
      <c r="J46" s="35"/>
      <c r="K46" s="46"/>
      <c r="L46" s="36"/>
      <c r="M46" s="45" t="str">
        <f t="shared" si="2"/>
        <v/>
      </c>
      <c r="N46" s="37" t="str">
        <f t="shared" si="3"/>
        <v/>
      </c>
      <c r="O46" s="37" t="str">
        <f>IF(A46="","",IF(M46="","No test date",IF(M46&lt;Methodology!$B$4,"Overdue","Current")))</f>
        <v/>
      </c>
      <c r="P46" s="24"/>
    </row>
    <row r="47" spans="1:16" x14ac:dyDescent="0.35">
      <c r="A47" s="35"/>
      <c r="B47" s="35"/>
      <c r="C47" s="44" t="str">
        <f>IF(B47="","",IFERROR(INDEX('Risk Register'!$B$6:$B$105,MATCH(B47,'Risk Register'!$A$6:$A$105,0)),"Unknown Risk ID"))</f>
        <v/>
      </c>
      <c r="D47" s="37" t="str">
        <f>IF(B47="","",IFERROR(INDEX('Risk Register'!$O$6:$O$105,MATCH(B47,'Risk Register'!$A$6:$A$105,0)),""))</f>
        <v/>
      </c>
      <c r="E47" s="35"/>
      <c r="F47" s="24"/>
      <c r="G47" s="35"/>
      <c r="H47" s="35"/>
      <c r="I47" s="35"/>
      <c r="J47" s="35"/>
      <c r="K47" s="46"/>
      <c r="L47" s="36"/>
      <c r="M47" s="45" t="str">
        <f t="shared" si="2"/>
        <v/>
      </c>
      <c r="N47" s="37" t="str">
        <f t="shared" si="3"/>
        <v/>
      </c>
      <c r="O47" s="37" t="str">
        <f>IF(A47="","",IF(M47="","No test date",IF(M47&lt;Methodology!$B$4,"Overdue","Current")))</f>
        <v/>
      </c>
      <c r="P47" s="24"/>
    </row>
    <row r="48" spans="1:16" x14ac:dyDescent="0.35">
      <c r="A48" s="35"/>
      <c r="B48" s="35"/>
      <c r="C48" s="44" t="str">
        <f>IF(B48="","",IFERROR(INDEX('Risk Register'!$B$6:$B$105,MATCH(B48,'Risk Register'!$A$6:$A$105,0)),"Unknown Risk ID"))</f>
        <v/>
      </c>
      <c r="D48" s="37" t="str">
        <f>IF(B48="","",IFERROR(INDEX('Risk Register'!$O$6:$O$105,MATCH(B48,'Risk Register'!$A$6:$A$105,0)),""))</f>
        <v/>
      </c>
      <c r="E48" s="35"/>
      <c r="F48" s="24"/>
      <c r="G48" s="35"/>
      <c r="H48" s="35"/>
      <c r="I48" s="35"/>
      <c r="J48" s="35"/>
      <c r="K48" s="46"/>
      <c r="L48" s="36"/>
      <c r="M48" s="45" t="str">
        <f t="shared" si="2"/>
        <v/>
      </c>
      <c r="N48" s="37" t="str">
        <f t="shared" si="3"/>
        <v/>
      </c>
      <c r="O48" s="37" t="str">
        <f>IF(A48="","",IF(M48="","No test date",IF(M48&lt;Methodology!$B$4,"Overdue","Current")))</f>
        <v/>
      </c>
      <c r="P48" s="24"/>
    </row>
    <row r="49" spans="1:16" x14ac:dyDescent="0.35">
      <c r="A49" s="35"/>
      <c r="B49" s="35"/>
      <c r="C49" s="44" t="str">
        <f>IF(B49="","",IFERROR(INDEX('Risk Register'!$B$6:$B$105,MATCH(B49,'Risk Register'!$A$6:$A$105,0)),"Unknown Risk ID"))</f>
        <v/>
      </c>
      <c r="D49" s="37" t="str">
        <f>IF(B49="","",IFERROR(INDEX('Risk Register'!$O$6:$O$105,MATCH(B49,'Risk Register'!$A$6:$A$105,0)),""))</f>
        <v/>
      </c>
      <c r="E49" s="35"/>
      <c r="F49" s="24"/>
      <c r="G49" s="35"/>
      <c r="H49" s="35"/>
      <c r="I49" s="35"/>
      <c r="J49" s="35"/>
      <c r="K49" s="46"/>
      <c r="L49" s="36"/>
      <c r="M49" s="45" t="str">
        <f t="shared" si="2"/>
        <v/>
      </c>
      <c r="N49" s="37" t="str">
        <f t="shared" si="3"/>
        <v/>
      </c>
      <c r="O49" s="37" t="str">
        <f>IF(A49="","",IF(M49="","No test date",IF(M49&lt;Methodology!$B$4,"Overdue","Current")))</f>
        <v/>
      </c>
      <c r="P49" s="24"/>
    </row>
    <row r="50" spans="1:16" x14ac:dyDescent="0.35">
      <c r="A50" s="35"/>
      <c r="B50" s="35"/>
      <c r="C50" s="44" t="str">
        <f>IF(B50="","",IFERROR(INDEX('Risk Register'!$B$6:$B$105,MATCH(B50,'Risk Register'!$A$6:$A$105,0)),"Unknown Risk ID"))</f>
        <v/>
      </c>
      <c r="D50" s="37" t="str">
        <f>IF(B50="","",IFERROR(INDEX('Risk Register'!$O$6:$O$105,MATCH(B50,'Risk Register'!$A$6:$A$105,0)),""))</f>
        <v/>
      </c>
      <c r="E50" s="35"/>
      <c r="F50" s="24"/>
      <c r="G50" s="35"/>
      <c r="H50" s="35"/>
      <c r="I50" s="35"/>
      <c r="J50" s="35"/>
      <c r="K50" s="46"/>
      <c r="L50" s="36"/>
      <c r="M50" s="45" t="str">
        <f t="shared" si="2"/>
        <v/>
      </c>
      <c r="N50" s="37" t="str">
        <f t="shared" si="3"/>
        <v/>
      </c>
      <c r="O50" s="37" t="str">
        <f>IF(A50="","",IF(M50="","No test date",IF(M50&lt;Methodology!$B$4,"Overdue","Current")))</f>
        <v/>
      </c>
      <c r="P50" s="24"/>
    </row>
    <row r="51" spans="1:16" x14ac:dyDescent="0.35">
      <c r="A51" s="35"/>
      <c r="B51" s="35"/>
      <c r="C51" s="44" t="str">
        <f>IF(B51="","",IFERROR(INDEX('Risk Register'!$B$6:$B$105,MATCH(B51,'Risk Register'!$A$6:$A$105,0)),"Unknown Risk ID"))</f>
        <v/>
      </c>
      <c r="D51" s="37" t="str">
        <f>IF(B51="","",IFERROR(INDEX('Risk Register'!$O$6:$O$105,MATCH(B51,'Risk Register'!$A$6:$A$105,0)),""))</f>
        <v/>
      </c>
      <c r="E51" s="35"/>
      <c r="F51" s="24"/>
      <c r="G51" s="35"/>
      <c r="H51" s="35"/>
      <c r="I51" s="35"/>
      <c r="J51" s="35"/>
      <c r="K51" s="46"/>
      <c r="L51" s="36"/>
      <c r="M51" s="45" t="str">
        <f t="shared" si="2"/>
        <v/>
      </c>
      <c r="N51" s="37" t="str">
        <f t="shared" si="3"/>
        <v/>
      </c>
      <c r="O51" s="37" t="str">
        <f>IF(A51="","",IF(M51="","No test date",IF(M51&lt;Methodology!$B$4,"Overdue","Current")))</f>
        <v/>
      </c>
      <c r="P51" s="24"/>
    </row>
    <row r="52" spans="1:16" x14ac:dyDescent="0.35">
      <c r="A52" s="35"/>
      <c r="B52" s="35"/>
      <c r="C52" s="44" t="str">
        <f>IF(B52="","",IFERROR(INDEX('Risk Register'!$B$6:$B$105,MATCH(B52,'Risk Register'!$A$6:$A$105,0)),"Unknown Risk ID"))</f>
        <v/>
      </c>
      <c r="D52" s="37" t="str">
        <f>IF(B52="","",IFERROR(INDEX('Risk Register'!$O$6:$O$105,MATCH(B52,'Risk Register'!$A$6:$A$105,0)),""))</f>
        <v/>
      </c>
      <c r="E52" s="35"/>
      <c r="F52" s="24"/>
      <c r="G52" s="35"/>
      <c r="H52" s="35"/>
      <c r="I52" s="35"/>
      <c r="J52" s="35"/>
      <c r="K52" s="46"/>
      <c r="L52" s="36"/>
      <c r="M52" s="45" t="str">
        <f t="shared" si="2"/>
        <v/>
      </c>
      <c r="N52" s="37" t="str">
        <f t="shared" si="3"/>
        <v/>
      </c>
      <c r="O52" s="37" t="str">
        <f>IF(A52="","",IF(M52="","No test date",IF(M52&lt;Methodology!$B$4,"Overdue","Current")))</f>
        <v/>
      </c>
      <c r="P52" s="24"/>
    </row>
    <row r="53" spans="1:16" x14ac:dyDescent="0.35">
      <c r="A53" s="35"/>
      <c r="B53" s="35"/>
      <c r="C53" s="44" t="str">
        <f>IF(B53="","",IFERROR(INDEX('Risk Register'!$B$6:$B$105,MATCH(B53,'Risk Register'!$A$6:$A$105,0)),"Unknown Risk ID"))</f>
        <v/>
      </c>
      <c r="D53" s="37" t="str">
        <f>IF(B53="","",IFERROR(INDEX('Risk Register'!$O$6:$O$105,MATCH(B53,'Risk Register'!$A$6:$A$105,0)),""))</f>
        <v/>
      </c>
      <c r="E53" s="35"/>
      <c r="F53" s="24"/>
      <c r="G53" s="35"/>
      <c r="H53" s="35"/>
      <c r="I53" s="35"/>
      <c r="J53" s="35"/>
      <c r="K53" s="46"/>
      <c r="L53" s="36"/>
      <c r="M53" s="45" t="str">
        <f t="shared" si="2"/>
        <v/>
      </c>
      <c r="N53" s="37" t="str">
        <f t="shared" si="3"/>
        <v/>
      </c>
      <c r="O53" s="37" t="str">
        <f>IF(A53="","",IF(M53="","No test date",IF(M53&lt;Methodology!$B$4,"Overdue","Current")))</f>
        <v/>
      </c>
      <c r="P53" s="24"/>
    </row>
    <row r="54" spans="1:16" x14ac:dyDescent="0.35">
      <c r="A54" s="35"/>
      <c r="B54" s="35"/>
      <c r="C54" s="44" t="str">
        <f>IF(B54="","",IFERROR(INDEX('Risk Register'!$B$6:$B$105,MATCH(B54,'Risk Register'!$A$6:$A$105,0)),"Unknown Risk ID"))</f>
        <v/>
      </c>
      <c r="D54" s="37" t="str">
        <f>IF(B54="","",IFERROR(INDEX('Risk Register'!$O$6:$O$105,MATCH(B54,'Risk Register'!$A$6:$A$105,0)),""))</f>
        <v/>
      </c>
      <c r="E54" s="35"/>
      <c r="F54" s="24"/>
      <c r="G54" s="35"/>
      <c r="H54" s="35"/>
      <c r="I54" s="35"/>
      <c r="J54" s="35"/>
      <c r="K54" s="46"/>
      <c r="L54" s="36"/>
      <c r="M54" s="45" t="str">
        <f t="shared" si="2"/>
        <v/>
      </c>
      <c r="N54" s="37" t="str">
        <f t="shared" si="3"/>
        <v/>
      </c>
      <c r="O54" s="37" t="str">
        <f>IF(A54="","",IF(M54="","No test date",IF(M54&lt;Methodology!$B$4,"Overdue","Current")))</f>
        <v/>
      </c>
      <c r="P54" s="24"/>
    </row>
    <row r="55" spans="1:16" x14ac:dyDescent="0.35">
      <c r="A55" s="35"/>
      <c r="B55" s="35"/>
      <c r="C55" s="44" t="str">
        <f>IF(B55="","",IFERROR(INDEX('Risk Register'!$B$6:$B$105,MATCH(B55,'Risk Register'!$A$6:$A$105,0)),"Unknown Risk ID"))</f>
        <v/>
      </c>
      <c r="D55" s="37" t="str">
        <f>IF(B55="","",IFERROR(INDEX('Risk Register'!$O$6:$O$105,MATCH(B55,'Risk Register'!$A$6:$A$105,0)),""))</f>
        <v/>
      </c>
      <c r="E55" s="35"/>
      <c r="F55" s="24"/>
      <c r="G55" s="35"/>
      <c r="H55" s="35"/>
      <c r="I55" s="35"/>
      <c r="J55" s="35"/>
      <c r="K55" s="46"/>
      <c r="L55" s="36"/>
      <c r="M55" s="45" t="str">
        <f t="shared" si="2"/>
        <v/>
      </c>
      <c r="N55" s="37" t="str">
        <f t="shared" si="3"/>
        <v/>
      </c>
      <c r="O55" s="37" t="str">
        <f>IF(A55="","",IF(M55="","No test date",IF(M55&lt;Methodology!$B$4,"Overdue","Current")))</f>
        <v/>
      </c>
      <c r="P55" s="24"/>
    </row>
    <row r="56" spans="1:16" x14ac:dyDescent="0.35">
      <c r="A56" s="35"/>
      <c r="B56" s="35"/>
      <c r="C56" s="44" t="str">
        <f>IF(B56="","",IFERROR(INDEX('Risk Register'!$B$6:$B$105,MATCH(B56,'Risk Register'!$A$6:$A$105,0)),"Unknown Risk ID"))</f>
        <v/>
      </c>
      <c r="D56" s="37" t="str">
        <f>IF(B56="","",IFERROR(INDEX('Risk Register'!$O$6:$O$105,MATCH(B56,'Risk Register'!$A$6:$A$105,0)),""))</f>
        <v/>
      </c>
      <c r="E56" s="35"/>
      <c r="F56" s="24"/>
      <c r="G56" s="35"/>
      <c r="H56" s="35"/>
      <c r="I56" s="35"/>
      <c r="J56" s="35"/>
      <c r="K56" s="46"/>
      <c r="L56" s="36"/>
      <c r="M56" s="45" t="str">
        <f t="shared" si="2"/>
        <v/>
      </c>
      <c r="N56" s="37" t="str">
        <f t="shared" si="3"/>
        <v/>
      </c>
      <c r="O56" s="37" t="str">
        <f>IF(A56="","",IF(M56="","No test date",IF(M56&lt;Methodology!$B$4,"Overdue","Current")))</f>
        <v/>
      </c>
      <c r="P56" s="24"/>
    </row>
    <row r="57" spans="1:16" x14ac:dyDescent="0.35">
      <c r="A57" s="35"/>
      <c r="B57" s="35"/>
      <c r="C57" s="44" t="str">
        <f>IF(B57="","",IFERROR(INDEX('Risk Register'!$B$6:$B$105,MATCH(B57,'Risk Register'!$A$6:$A$105,0)),"Unknown Risk ID"))</f>
        <v/>
      </c>
      <c r="D57" s="37" t="str">
        <f>IF(B57="","",IFERROR(INDEX('Risk Register'!$O$6:$O$105,MATCH(B57,'Risk Register'!$A$6:$A$105,0)),""))</f>
        <v/>
      </c>
      <c r="E57" s="35"/>
      <c r="F57" s="24"/>
      <c r="G57" s="35"/>
      <c r="H57" s="35"/>
      <c r="I57" s="35"/>
      <c r="J57" s="35"/>
      <c r="K57" s="46"/>
      <c r="L57" s="36"/>
      <c r="M57" s="45" t="str">
        <f t="shared" si="2"/>
        <v/>
      </c>
      <c r="N57" s="37" t="str">
        <f t="shared" si="3"/>
        <v/>
      </c>
      <c r="O57" s="37" t="str">
        <f>IF(A57="","",IF(M57="","No test date",IF(M57&lt;Methodology!$B$4,"Overdue","Current")))</f>
        <v/>
      </c>
      <c r="P57" s="24"/>
    </row>
    <row r="58" spans="1:16" x14ac:dyDescent="0.35">
      <c r="A58" s="35"/>
      <c r="B58" s="35"/>
      <c r="C58" s="44" t="str">
        <f>IF(B58="","",IFERROR(INDEX('Risk Register'!$B$6:$B$105,MATCH(B58,'Risk Register'!$A$6:$A$105,0)),"Unknown Risk ID"))</f>
        <v/>
      </c>
      <c r="D58" s="37" t="str">
        <f>IF(B58="","",IFERROR(INDEX('Risk Register'!$O$6:$O$105,MATCH(B58,'Risk Register'!$A$6:$A$105,0)),""))</f>
        <v/>
      </c>
      <c r="E58" s="35"/>
      <c r="F58" s="24"/>
      <c r="G58" s="35"/>
      <c r="H58" s="35"/>
      <c r="I58" s="35"/>
      <c r="J58" s="35"/>
      <c r="K58" s="46"/>
      <c r="L58" s="36"/>
      <c r="M58" s="45" t="str">
        <f t="shared" si="2"/>
        <v/>
      </c>
      <c r="N58" s="37" t="str">
        <f t="shared" si="3"/>
        <v/>
      </c>
      <c r="O58" s="37" t="str">
        <f>IF(A58="","",IF(M58="","No test date",IF(M58&lt;Methodology!$B$4,"Overdue","Current")))</f>
        <v/>
      </c>
      <c r="P58" s="24"/>
    </row>
    <row r="59" spans="1:16" x14ac:dyDescent="0.35">
      <c r="A59" s="35"/>
      <c r="B59" s="35"/>
      <c r="C59" s="44" t="str">
        <f>IF(B59="","",IFERROR(INDEX('Risk Register'!$B$6:$B$105,MATCH(B59,'Risk Register'!$A$6:$A$105,0)),"Unknown Risk ID"))</f>
        <v/>
      </c>
      <c r="D59" s="37" t="str">
        <f>IF(B59="","",IFERROR(INDEX('Risk Register'!$O$6:$O$105,MATCH(B59,'Risk Register'!$A$6:$A$105,0)),""))</f>
        <v/>
      </c>
      <c r="E59" s="35"/>
      <c r="F59" s="24"/>
      <c r="G59" s="35"/>
      <c r="H59" s="35"/>
      <c r="I59" s="35"/>
      <c r="J59" s="35"/>
      <c r="K59" s="46"/>
      <c r="L59" s="36"/>
      <c r="M59" s="45" t="str">
        <f t="shared" si="2"/>
        <v/>
      </c>
      <c r="N59" s="37" t="str">
        <f t="shared" si="3"/>
        <v/>
      </c>
      <c r="O59" s="37" t="str">
        <f>IF(A59="","",IF(M59="","No test date",IF(M59&lt;Methodology!$B$4,"Overdue","Current")))</f>
        <v/>
      </c>
      <c r="P59" s="24"/>
    </row>
    <row r="60" spans="1:16" x14ac:dyDescent="0.35">
      <c r="A60" s="35"/>
      <c r="B60" s="35"/>
      <c r="C60" s="44" t="str">
        <f>IF(B60="","",IFERROR(INDEX('Risk Register'!$B$6:$B$105,MATCH(B60,'Risk Register'!$A$6:$A$105,0)),"Unknown Risk ID"))</f>
        <v/>
      </c>
      <c r="D60" s="37" t="str">
        <f>IF(B60="","",IFERROR(INDEX('Risk Register'!$O$6:$O$105,MATCH(B60,'Risk Register'!$A$6:$A$105,0)),""))</f>
        <v/>
      </c>
      <c r="E60" s="35"/>
      <c r="F60" s="24"/>
      <c r="G60" s="35"/>
      <c r="H60" s="35"/>
      <c r="I60" s="35"/>
      <c r="J60" s="35"/>
      <c r="K60" s="46"/>
      <c r="L60" s="36"/>
      <c r="M60" s="45" t="str">
        <f t="shared" si="2"/>
        <v/>
      </c>
      <c r="N60" s="37" t="str">
        <f t="shared" si="3"/>
        <v/>
      </c>
      <c r="O60" s="37" t="str">
        <f>IF(A60="","",IF(M60="","No test date",IF(M60&lt;Methodology!$B$4,"Overdue","Current")))</f>
        <v/>
      </c>
      <c r="P60" s="24"/>
    </row>
    <row r="61" spans="1:16" x14ac:dyDescent="0.35">
      <c r="A61" s="35"/>
      <c r="B61" s="35"/>
      <c r="C61" s="44" t="str">
        <f>IF(B61="","",IFERROR(INDEX('Risk Register'!$B$6:$B$105,MATCH(B61,'Risk Register'!$A$6:$A$105,0)),"Unknown Risk ID"))</f>
        <v/>
      </c>
      <c r="D61" s="37" t="str">
        <f>IF(B61="","",IFERROR(INDEX('Risk Register'!$O$6:$O$105,MATCH(B61,'Risk Register'!$A$6:$A$105,0)),""))</f>
        <v/>
      </c>
      <c r="E61" s="35"/>
      <c r="F61" s="24"/>
      <c r="G61" s="35"/>
      <c r="H61" s="35"/>
      <c r="I61" s="35"/>
      <c r="J61" s="35"/>
      <c r="K61" s="46"/>
      <c r="L61" s="36"/>
      <c r="M61" s="45" t="str">
        <f t="shared" si="2"/>
        <v/>
      </c>
      <c r="N61" s="37" t="str">
        <f t="shared" si="3"/>
        <v/>
      </c>
      <c r="O61" s="37" t="str">
        <f>IF(A61="","",IF(M61="","No test date",IF(M61&lt;Methodology!$B$4,"Overdue","Current")))</f>
        <v/>
      </c>
      <c r="P61" s="24"/>
    </row>
    <row r="62" spans="1:16" x14ac:dyDescent="0.35">
      <c r="A62" s="35"/>
      <c r="B62" s="35"/>
      <c r="C62" s="44" t="str">
        <f>IF(B62="","",IFERROR(INDEX('Risk Register'!$B$6:$B$105,MATCH(B62,'Risk Register'!$A$6:$A$105,0)),"Unknown Risk ID"))</f>
        <v/>
      </c>
      <c r="D62" s="37" t="str">
        <f>IF(B62="","",IFERROR(INDEX('Risk Register'!$O$6:$O$105,MATCH(B62,'Risk Register'!$A$6:$A$105,0)),""))</f>
        <v/>
      </c>
      <c r="E62" s="35"/>
      <c r="F62" s="24"/>
      <c r="G62" s="35"/>
      <c r="H62" s="35"/>
      <c r="I62" s="35"/>
      <c r="J62" s="35"/>
      <c r="K62" s="46"/>
      <c r="L62" s="36"/>
      <c r="M62" s="45" t="str">
        <f t="shared" si="2"/>
        <v/>
      </c>
      <c r="N62" s="37" t="str">
        <f t="shared" si="3"/>
        <v/>
      </c>
      <c r="O62" s="37" t="str">
        <f>IF(A62="","",IF(M62="","No test date",IF(M62&lt;Methodology!$B$4,"Overdue","Current")))</f>
        <v/>
      </c>
      <c r="P62" s="24"/>
    </row>
    <row r="63" spans="1:16" x14ac:dyDescent="0.35">
      <c r="A63" s="35"/>
      <c r="B63" s="35"/>
      <c r="C63" s="44" t="str">
        <f>IF(B63="","",IFERROR(INDEX('Risk Register'!$B$6:$B$105,MATCH(B63,'Risk Register'!$A$6:$A$105,0)),"Unknown Risk ID"))</f>
        <v/>
      </c>
      <c r="D63" s="37" t="str">
        <f>IF(B63="","",IFERROR(INDEX('Risk Register'!$O$6:$O$105,MATCH(B63,'Risk Register'!$A$6:$A$105,0)),""))</f>
        <v/>
      </c>
      <c r="E63" s="35"/>
      <c r="F63" s="24"/>
      <c r="G63" s="35"/>
      <c r="H63" s="35"/>
      <c r="I63" s="35"/>
      <c r="J63" s="35"/>
      <c r="K63" s="46"/>
      <c r="L63" s="36"/>
      <c r="M63" s="45" t="str">
        <f t="shared" si="2"/>
        <v/>
      </c>
      <c r="N63" s="37" t="str">
        <f t="shared" si="3"/>
        <v/>
      </c>
      <c r="O63" s="37" t="str">
        <f>IF(A63="","",IF(M63="","No test date",IF(M63&lt;Methodology!$B$4,"Overdue","Current")))</f>
        <v/>
      </c>
      <c r="P63" s="24"/>
    </row>
    <row r="64" spans="1:16" x14ac:dyDescent="0.35">
      <c r="A64" s="35"/>
      <c r="B64" s="35"/>
      <c r="C64" s="44" t="str">
        <f>IF(B64="","",IFERROR(INDEX('Risk Register'!$B$6:$B$105,MATCH(B64,'Risk Register'!$A$6:$A$105,0)),"Unknown Risk ID"))</f>
        <v/>
      </c>
      <c r="D64" s="37" t="str">
        <f>IF(B64="","",IFERROR(INDEX('Risk Register'!$O$6:$O$105,MATCH(B64,'Risk Register'!$A$6:$A$105,0)),""))</f>
        <v/>
      </c>
      <c r="E64" s="35"/>
      <c r="F64" s="24"/>
      <c r="G64" s="35"/>
      <c r="H64" s="35"/>
      <c r="I64" s="35"/>
      <c r="J64" s="35"/>
      <c r="K64" s="46"/>
      <c r="L64" s="36"/>
      <c r="M64" s="45" t="str">
        <f t="shared" si="2"/>
        <v/>
      </c>
      <c r="N64" s="37" t="str">
        <f t="shared" si="3"/>
        <v/>
      </c>
      <c r="O64" s="37" t="str">
        <f>IF(A64="","",IF(M64="","No test date",IF(M64&lt;Methodology!$B$4,"Overdue","Current")))</f>
        <v/>
      </c>
      <c r="P64" s="24"/>
    </row>
    <row r="65" spans="1:16" x14ac:dyDescent="0.35">
      <c r="A65" s="35"/>
      <c r="B65" s="35"/>
      <c r="C65" s="44" t="str">
        <f>IF(B65="","",IFERROR(INDEX('Risk Register'!$B$6:$B$105,MATCH(B65,'Risk Register'!$A$6:$A$105,0)),"Unknown Risk ID"))</f>
        <v/>
      </c>
      <c r="D65" s="37" t="str">
        <f>IF(B65="","",IFERROR(INDEX('Risk Register'!$O$6:$O$105,MATCH(B65,'Risk Register'!$A$6:$A$105,0)),""))</f>
        <v/>
      </c>
      <c r="E65" s="35"/>
      <c r="F65" s="24"/>
      <c r="G65" s="35"/>
      <c r="H65" s="35"/>
      <c r="I65" s="35"/>
      <c r="J65" s="35"/>
      <c r="K65" s="46"/>
      <c r="L65" s="36"/>
      <c r="M65" s="45" t="str">
        <f t="shared" si="2"/>
        <v/>
      </c>
      <c r="N65" s="37" t="str">
        <f t="shared" si="3"/>
        <v/>
      </c>
      <c r="O65" s="37" t="str">
        <f>IF(A65="","",IF(M65="","No test date",IF(M65&lt;Methodology!$B$4,"Overdue","Current")))</f>
        <v/>
      </c>
      <c r="P65" s="24"/>
    </row>
    <row r="66" spans="1:16" x14ac:dyDescent="0.35">
      <c r="A66" s="35"/>
      <c r="B66" s="35"/>
      <c r="C66" s="44" t="str">
        <f>IF(B66="","",IFERROR(INDEX('Risk Register'!$B$6:$B$105,MATCH(B66,'Risk Register'!$A$6:$A$105,0)),"Unknown Risk ID"))</f>
        <v/>
      </c>
      <c r="D66" s="37" t="str">
        <f>IF(B66="","",IFERROR(INDEX('Risk Register'!$O$6:$O$105,MATCH(B66,'Risk Register'!$A$6:$A$105,0)),""))</f>
        <v/>
      </c>
      <c r="E66" s="35"/>
      <c r="F66" s="24"/>
      <c r="G66" s="35"/>
      <c r="H66" s="35"/>
      <c r="I66" s="35"/>
      <c r="J66" s="35"/>
      <c r="K66" s="46"/>
      <c r="L66" s="36"/>
      <c r="M66" s="45" t="str">
        <f t="shared" si="2"/>
        <v/>
      </c>
      <c r="N66" s="37" t="str">
        <f t="shared" si="3"/>
        <v/>
      </c>
      <c r="O66" s="37" t="str">
        <f>IF(A66="","",IF(M66="","No test date",IF(M66&lt;Methodology!$B$4,"Overdue","Current")))</f>
        <v/>
      </c>
      <c r="P66" s="24"/>
    </row>
    <row r="67" spans="1:16" x14ac:dyDescent="0.35">
      <c r="A67" s="35"/>
      <c r="B67" s="35"/>
      <c r="C67" s="44" t="str">
        <f>IF(B67="","",IFERROR(INDEX('Risk Register'!$B$6:$B$105,MATCH(B67,'Risk Register'!$A$6:$A$105,0)),"Unknown Risk ID"))</f>
        <v/>
      </c>
      <c r="D67" s="37" t="str">
        <f>IF(B67="","",IFERROR(INDEX('Risk Register'!$O$6:$O$105,MATCH(B67,'Risk Register'!$A$6:$A$105,0)),""))</f>
        <v/>
      </c>
      <c r="E67" s="35"/>
      <c r="F67" s="24"/>
      <c r="G67" s="35"/>
      <c r="H67" s="35"/>
      <c r="I67" s="35"/>
      <c r="J67" s="35"/>
      <c r="K67" s="46"/>
      <c r="L67" s="36"/>
      <c r="M67" s="45" t="str">
        <f t="shared" si="2"/>
        <v/>
      </c>
      <c r="N67" s="37" t="str">
        <f t="shared" si="3"/>
        <v/>
      </c>
      <c r="O67" s="37" t="str">
        <f>IF(A67="","",IF(M67="","No test date",IF(M67&lt;Methodology!$B$4,"Overdue","Current")))</f>
        <v/>
      </c>
      <c r="P67" s="24"/>
    </row>
    <row r="68" spans="1:16" x14ac:dyDescent="0.35">
      <c r="A68" s="35"/>
      <c r="B68" s="35"/>
      <c r="C68" s="44" t="str">
        <f>IF(B68="","",IFERROR(INDEX('Risk Register'!$B$6:$B$105,MATCH(B68,'Risk Register'!$A$6:$A$105,0)),"Unknown Risk ID"))</f>
        <v/>
      </c>
      <c r="D68" s="37" t="str">
        <f>IF(B68="","",IFERROR(INDEX('Risk Register'!$O$6:$O$105,MATCH(B68,'Risk Register'!$A$6:$A$105,0)),""))</f>
        <v/>
      </c>
      <c r="E68" s="35"/>
      <c r="F68" s="24"/>
      <c r="G68" s="35"/>
      <c r="H68" s="35"/>
      <c r="I68" s="35"/>
      <c r="J68" s="35"/>
      <c r="K68" s="46"/>
      <c r="L68" s="36"/>
      <c r="M68" s="45" t="str">
        <f t="shared" si="2"/>
        <v/>
      </c>
      <c r="N68" s="37" t="str">
        <f t="shared" si="3"/>
        <v/>
      </c>
      <c r="O68" s="37" t="str">
        <f>IF(A68="","",IF(M68="","No test date",IF(M68&lt;Methodology!$B$4,"Overdue","Current")))</f>
        <v/>
      </c>
      <c r="P68" s="24"/>
    </row>
    <row r="69" spans="1:16" x14ac:dyDescent="0.35">
      <c r="A69" s="35"/>
      <c r="B69" s="35"/>
      <c r="C69" s="44" t="str">
        <f>IF(B69="","",IFERROR(INDEX('Risk Register'!$B$6:$B$105,MATCH(B69,'Risk Register'!$A$6:$A$105,0)),"Unknown Risk ID"))</f>
        <v/>
      </c>
      <c r="D69" s="37" t="str">
        <f>IF(B69="","",IFERROR(INDEX('Risk Register'!$O$6:$O$105,MATCH(B69,'Risk Register'!$A$6:$A$105,0)),""))</f>
        <v/>
      </c>
      <c r="E69" s="35"/>
      <c r="F69" s="24"/>
      <c r="G69" s="35"/>
      <c r="H69" s="35"/>
      <c r="I69" s="35"/>
      <c r="J69" s="35"/>
      <c r="K69" s="46"/>
      <c r="L69" s="36"/>
      <c r="M69" s="45" t="str">
        <f t="shared" si="2"/>
        <v/>
      </c>
      <c r="N69" s="37" t="str">
        <f t="shared" si="3"/>
        <v/>
      </c>
      <c r="O69" s="37" t="str">
        <f>IF(A69="","",IF(M69="","No test date",IF(M69&lt;Methodology!$B$4,"Overdue","Current")))</f>
        <v/>
      </c>
      <c r="P69" s="24"/>
    </row>
    <row r="70" spans="1:16" x14ac:dyDescent="0.35">
      <c r="A70" s="35"/>
      <c r="B70" s="35"/>
      <c r="C70" s="44" t="str">
        <f>IF(B70="","",IFERROR(INDEX('Risk Register'!$B$6:$B$105,MATCH(B70,'Risk Register'!$A$6:$A$105,0)),"Unknown Risk ID"))</f>
        <v/>
      </c>
      <c r="D70" s="37" t="str">
        <f>IF(B70="","",IFERROR(INDEX('Risk Register'!$O$6:$O$105,MATCH(B70,'Risk Register'!$A$6:$A$105,0)),""))</f>
        <v/>
      </c>
      <c r="E70" s="35"/>
      <c r="F70" s="24"/>
      <c r="G70" s="35"/>
      <c r="H70" s="35"/>
      <c r="I70" s="35"/>
      <c r="J70" s="35"/>
      <c r="K70" s="46"/>
      <c r="L70" s="36"/>
      <c r="M70" s="45" t="str">
        <f t="shared" ref="M70:M101" si="4">IF(OR(K70="",L70=""),"",K70+L70)</f>
        <v/>
      </c>
      <c r="N70" s="37" t="str">
        <f t="shared" ref="N70:N101" si="5">IF(OR(A70="",I70="",J70=""),"",IF(OR(I70="Ineffective",J70="Ineffective"),"Ineffective",IF(J70="Not tested","Not tested",IF(OR(I70="Partially effective",J70="Partially effective"),"Partially effective","Effective"))))</f>
        <v/>
      </c>
      <c r="O70" s="37" t="str">
        <f>IF(A70="","",IF(M70="","No test date",IF(M70&lt;Methodology!$B$4,"Overdue","Current")))</f>
        <v/>
      </c>
      <c r="P70" s="24"/>
    </row>
    <row r="71" spans="1:16" x14ac:dyDescent="0.35">
      <c r="A71" s="35"/>
      <c r="B71" s="35"/>
      <c r="C71" s="44" t="str">
        <f>IF(B71="","",IFERROR(INDEX('Risk Register'!$B$6:$B$105,MATCH(B71,'Risk Register'!$A$6:$A$105,0)),"Unknown Risk ID"))</f>
        <v/>
      </c>
      <c r="D71" s="37" t="str">
        <f>IF(B71="","",IFERROR(INDEX('Risk Register'!$O$6:$O$105,MATCH(B71,'Risk Register'!$A$6:$A$105,0)),""))</f>
        <v/>
      </c>
      <c r="E71" s="35"/>
      <c r="F71" s="24"/>
      <c r="G71" s="35"/>
      <c r="H71" s="35"/>
      <c r="I71" s="35"/>
      <c r="J71" s="35"/>
      <c r="K71" s="46"/>
      <c r="L71" s="36"/>
      <c r="M71" s="45" t="str">
        <f t="shared" si="4"/>
        <v/>
      </c>
      <c r="N71" s="37" t="str">
        <f t="shared" si="5"/>
        <v/>
      </c>
      <c r="O71" s="37" t="str">
        <f>IF(A71="","",IF(M71="","No test date",IF(M71&lt;Methodology!$B$4,"Overdue","Current")))</f>
        <v/>
      </c>
      <c r="P71" s="24"/>
    </row>
    <row r="72" spans="1:16" x14ac:dyDescent="0.35">
      <c r="A72" s="35"/>
      <c r="B72" s="35"/>
      <c r="C72" s="44" t="str">
        <f>IF(B72="","",IFERROR(INDEX('Risk Register'!$B$6:$B$105,MATCH(B72,'Risk Register'!$A$6:$A$105,0)),"Unknown Risk ID"))</f>
        <v/>
      </c>
      <c r="D72" s="37" t="str">
        <f>IF(B72="","",IFERROR(INDEX('Risk Register'!$O$6:$O$105,MATCH(B72,'Risk Register'!$A$6:$A$105,0)),""))</f>
        <v/>
      </c>
      <c r="E72" s="35"/>
      <c r="F72" s="24"/>
      <c r="G72" s="35"/>
      <c r="H72" s="35"/>
      <c r="I72" s="35"/>
      <c r="J72" s="35"/>
      <c r="K72" s="46"/>
      <c r="L72" s="36"/>
      <c r="M72" s="45" t="str">
        <f t="shared" si="4"/>
        <v/>
      </c>
      <c r="N72" s="37" t="str">
        <f t="shared" si="5"/>
        <v/>
      </c>
      <c r="O72" s="37" t="str">
        <f>IF(A72="","",IF(M72="","No test date",IF(M72&lt;Methodology!$B$4,"Overdue","Current")))</f>
        <v/>
      </c>
      <c r="P72" s="24"/>
    </row>
    <row r="73" spans="1:16" x14ac:dyDescent="0.35">
      <c r="A73" s="35"/>
      <c r="B73" s="35"/>
      <c r="C73" s="44" t="str">
        <f>IF(B73="","",IFERROR(INDEX('Risk Register'!$B$6:$B$105,MATCH(B73,'Risk Register'!$A$6:$A$105,0)),"Unknown Risk ID"))</f>
        <v/>
      </c>
      <c r="D73" s="37" t="str">
        <f>IF(B73="","",IFERROR(INDEX('Risk Register'!$O$6:$O$105,MATCH(B73,'Risk Register'!$A$6:$A$105,0)),""))</f>
        <v/>
      </c>
      <c r="E73" s="35"/>
      <c r="F73" s="24"/>
      <c r="G73" s="35"/>
      <c r="H73" s="35"/>
      <c r="I73" s="35"/>
      <c r="J73" s="35"/>
      <c r="K73" s="46"/>
      <c r="L73" s="36"/>
      <c r="M73" s="45" t="str">
        <f t="shared" si="4"/>
        <v/>
      </c>
      <c r="N73" s="37" t="str">
        <f t="shared" si="5"/>
        <v/>
      </c>
      <c r="O73" s="37" t="str">
        <f>IF(A73="","",IF(M73="","No test date",IF(M73&lt;Methodology!$B$4,"Overdue","Current")))</f>
        <v/>
      </c>
      <c r="P73" s="24"/>
    </row>
    <row r="74" spans="1:16" x14ac:dyDescent="0.35">
      <c r="A74" s="35"/>
      <c r="B74" s="35"/>
      <c r="C74" s="44" t="str">
        <f>IF(B74="","",IFERROR(INDEX('Risk Register'!$B$6:$B$105,MATCH(B74,'Risk Register'!$A$6:$A$105,0)),"Unknown Risk ID"))</f>
        <v/>
      </c>
      <c r="D74" s="37" t="str">
        <f>IF(B74="","",IFERROR(INDEX('Risk Register'!$O$6:$O$105,MATCH(B74,'Risk Register'!$A$6:$A$105,0)),""))</f>
        <v/>
      </c>
      <c r="E74" s="35"/>
      <c r="F74" s="24"/>
      <c r="G74" s="35"/>
      <c r="H74" s="35"/>
      <c r="I74" s="35"/>
      <c r="J74" s="35"/>
      <c r="K74" s="46"/>
      <c r="L74" s="36"/>
      <c r="M74" s="45" t="str">
        <f t="shared" si="4"/>
        <v/>
      </c>
      <c r="N74" s="37" t="str">
        <f t="shared" si="5"/>
        <v/>
      </c>
      <c r="O74" s="37" t="str">
        <f>IF(A74="","",IF(M74="","No test date",IF(M74&lt;Methodology!$B$4,"Overdue","Current")))</f>
        <v/>
      </c>
      <c r="P74" s="24"/>
    </row>
    <row r="75" spans="1:16" x14ac:dyDescent="0.35">
      <c r="A75" s="35"/>
      <c r="B75" s="35"/>
      <c r="C75" s="44" t="str">
        <f>IF(B75="","",IFERROR(INDEX('Risk Register'!$B$6:$B$105,MATCH(B75,'Risk Register'!$A$6:$A$105,0)),"Unknown Risk ID"))</f>
        <v/>
      </c>
      <c r="D75" s="37" t="str">
        <f>IF(B75="","",IFERROR(INDEX('Risk Register'!$O$6:$O$105,MATCH(B75,'Risk Register'!$A$6:$A$105,0)),""))</f>
        <v/>
      </c>
      <c r="E75" s="35"/>
      <c r="F75" s="24"/>
      <c r="G75" s="35"/>
      <c r="H75" s="35"/>
      <c r="I75" s="35"/>
      <c r="J75" s="35"/>
      <c r="K75" s="46"/>
      <c r="L75" s="36"/>
      <c r="M75" s="45" t="str">
        <f t="shared" si="4"/>
        <v/>
      </c>
      <c r="N75" s="37" t="str">
        <f t="shared" si="5"/>
        <v/>
      </c>
      <c r="O75" s="37" t="str">
        <f>IF(A75="","",IF(M75="","No test date",IF(M75&lt;Methodology!$B$4,"Overdue","Current")))</f>
        <v/>
      </c>
      <c r="P75" s="24"/>
    </row>
    <row r="76" spans="1:16" x14ac:dyDescent="0.35">
      <c r="A76" s="35"/>
      <c r="B76" s="35"/>
      <c r="C76" s="44" t="str">
        <f>IF(B76="","",IFERROR(INDEX('Risk Register'!$B$6:$B$105,MATCH(B76,'Risk Register'!$A$6:$A$105,0)),"Unknown Risk ID"))</f>
        <v/>
      </c>
      <c r="D76" s="37" t="str">
        <f>IF(B76="","",IFERROR(INDEX('Risk Register'!$O$6:$O$105,MATCH(B76,'Risk Register'!$A$6:$A$105,0)),""))</f>
        <v/>
      </c>
      <c r="E76" s="35"/>
      <c r="F76" s="24"/>
      <c r="G76" s="35"/>
      <c r="H76" s="35"/>
      <c r="I76" s="35"/>
      <c r="J76" s="35"/>
      <c r="K76" s="46"/>
      <c r="L76" s="36"/>
      <c r="M76" s="45" t="str">
        <f t="shared" si="4"/>
        <v/>
      </c>
      <c r="N76" s="37" t="str">
        <f t="shared" si="5"/>
        <v/>
      </c>
      <c r="O76" s="37" t="str">
        <f>IF(A76="","",IF(M76="","No test date",IF(M76&lt;Methodology!$B$4,"Overdue","Current")))</f>
        <v/>
      </c>
      <c r="P76" s="24"/>
    </row>
    <row r="77" spans="1:16" x14ac:dyDescent="0.35">
      <c r="A77" s="35"/>
      <c r="B77" s="35"/>
      <c r="C77" s="44" t="str">
        <f>IF(B77="","",IFERROR(INDEX('Risk Register'!$B$6:$B$105,MATCH(B77,'Risk Register'!$A$6:$A$105,0)),"Unknown Risk ID"))</f>
        <v/>
      </c>
      <c r="D77" s="37" t="str">
        <f>IF(B77="","",IFERROR(INDEX('Risk Register'!$O$6:$O$105,MATCH(B77,'Risk Register'!$A$6:$A$105,0)),""))</f>
        <v/>
      </c>
      <c r="E77" s="35"/>
      <c r="F77" s="24"/>
      <c r="G77" s="35"/>
      <c r="H77" s="35"/>
      <c r="I77" s="35"/>
      <c r="J77" s="35"/>
      <c r="K77" s="46"/>
      <c r="L77" s="36"/>
      <c r="M77" s="45" t="str">
        <f t="shared" si="4"/>
        <v/>
      </c>
      <c r="N77" s="37" t="str">
        <f t="shared" si="5"/>
        <v/>
      </c>
      <c r="O77" s="37" t="str">
        <f>IF(A77="","",IF(M77="","No test date",IF(M77&lt;Methodology!$B$4,"Overdue","Current")))</f>
        <v/>
      </c>
      <c r="P77" s="24"/>
    </row>
    <row r="78" spans="1:16" x14ac:dyDescent="0.35">
      <c r="A78" s="35"/>
      <c r="B78" s="35"/>
      <c r="C78" s="44" t="str">
        <f>IF(B78="","",IFERROR(INDEX('Risk Register'!$B$6:$B$105,MATCH(B78,'Risk Register'!$A$6:$A$105,0)),"Unknown Risk ID"))</f>
        <v/>
      </c>
      <c r="D78" s="37" t="str">
        <f>IF(B78="","",IFERROR(INDEX('Risk Register'!$O$6:$O$105,MATCH(B78,'Risk Register'!$A$6:$A$105,0)),""))</f>
        <v/>
      </c>
      <c r="E78" s="35"/>
      <c r="F78" s="24"/>
      <c r="G78" s="35"/>
      <c r="H78" s="35"/>
      <c r="I78" s="35"/>
      <c r="J78" s="35"/>
      <c r="K78" s="46"/>
      <c r="L78" s="36"/>
      <c r="M78" s="45" t="str">
        <f t="shared" si="4"/>
        <v/>
      </c>
      <c r="N78" s="37" t="str">
        <f t="shared" si="5"/>
        <v/>
      </c>
      <c r="O78" s="37" t="str">
        <f>IF(A78="","",IF(M78="","No test date",IF(M78&lt;Methodology!$B$4,"Overdue","Current")))</f>
        <v/>
      </c>
      <c r="P78" s="24"/>
    </row>
    <row r="79" spans="1:16" x14ac:dyDescent="0.35">
      <c r="A79" s="35"/>
      <c r="B79" s="35"/>
      <c r="C79" s="44" t="str">
        <f>IF(B79="","",IFERROR(INDEX('Risk Register'!$B$6:$B$105,MATCH(B79,'Risk Register'!$A$6:$A$105,0)),"Unknown Risk ID"))</f>
        <v/>
      </c>
      <c r="D79" s="37" t="str">
        <f>IF(B79="","",IFERROR(INDEX('Risk Register'!$O$6:$O$105,MATCH(B79,'Risk Register'!$A$6:$A$105,0)),""))</f>
        <v/>
      </c>
      <c r="E79" s="35"/>
      <c r="F79" s="24"/>
      <c r="G79" s="35"/>
      <c r="H79" s="35"/>
      <c r="I79" s="35"/>
      <c r="J79" s="35"/>
      <c r="K79" s="46"/>
      <c r="L79" s="36"/>
      <c r="M79" s="45" t="str">
        <f t="shared" si="4"/>
        <v/>
      </c>
      <c r="N79" s="37" t="str">
        <f t="shared" si="5"/>
        <v/>
      </c>
      <c r="O79" s="37" t="str">
        <f>IF(A79="","",IF(M79="","No test date",IF(M79&lt;Methodology!$B$4,"Overdue","Current")))</f>
        <v/>
      </c>
      <c r="P79" s="24"/>
    </row>
    <row r="80" spans="1:16" x14ac:dyDescent="0.35">
      <c r="A80" s="35"/>
      <c r="B80" s="35"/>
      <c r="C80" s="44" t="str">
        <f>IF(B80="","",IFERROR(INDEX('Risk Register'!$B$6:$B$105,MATCH(B80,'Risk Register'!$A$6:$A$105,0)),"Unknown Risk ID"))</f>
        <v/>
      </c>
      <c r="D80" s="37" t="str">
        <f>IF(B80="","",IFERROR(INDEX('Risk Register'!$O$6:$O$105,MATCH(B80,'Risk Register'!$A$6:$A$105,0)),""))</f>
        <v/>
      </c>
      <c r="E80" s="35"/>
      <c r="F80" s="24"/>
      <c r="G80" s="35"/>
      <c r="H80" s="35"/>
      <c r="I80" s="35"/>
      <c r="J80" s="35"/>
      <c r="K80" s="46"/>
      <c r="L80" s="36"/>
      <c r="M80" s="45" t="str">
        <f t="shared" si="4"/>
        <v/>
      </c>
      <c r="N80" s="37" t="str">
        <f t="shared" si="5"/>
        <v/>
      </c>
      <c r="O80" s="37" t="str">
        <f>IF(A80="","",IF(M80="","No test date",IF(M80&lt;Methodology!$B$4,"Overdue","Current")))</f>
        <v/>
      </c>
      <c r="P80" s="24"/>
    </row>
    <row r="81" spans="1:16" x14ac:dyDescent="0.35">
      <c r="A81" s="35"/>
      <c r="B81" s="35"/>
      <c r="C81" s="44" t="str">
        <f>IF(B81="","",IFERROR(INDEX('Risk Register'!$B$6:$B$105,MATCH(B81,'Risk Register'!$A$6:$A$105,0)),"Unknown Risk ID"))</f>
        <v/>
      </c>
      <c r="D81" s="37" t="str">
        <f>IF(B81="","",IFERROR(INDEX('Risk Register'!$O$6:$O$105,MATCH(B81,'Risk Register'!$A$6:$A$105,0)),""))</f>
        <v/>
      </c>
      <c r="E81" s="35"/>
      <c r="F81" s="24"/>
      <c r="G81" s="35"/>
      <c r="H81" s="35"/>
      <c r="I81" s="35"/>
      <c r="J81" s="35"/>
      <c r="K81" s="46"/>
      <c r="L81" s="36"/>
      <c r="M81" s="45" t="str">
        <f t="shared" si="4"/>
        <v/>
      </c>
      <c r="N81" s="37" t="str">
        <f t="shared" si="5"/>
        <v/>
      </c>
      <c r="O81" s="37" t="str">
        <f>IF(A81="","",IF(M81="","No test date",IF(M81&lt;Methodology!$B$4,"Overdue","Current")))</f>
        <v/>
      </c>
      <c r="P81" s="24"/>
    </row>
    <row r="82" spans="1:16" x14ac:dyDescent="0.35">
      <c r="A82" s="35"/>
      <c r="B82" s="35"/>
      <c r="C82" s="44" t="str">
        <f>IF(B82="","",IFERROR(INDEX('Risk Register'!$B$6:$B$105,MATCH(B82,'Risk Register'!$A$6:$A$105,0)),"Unknown Risk ID"))</f>
        <v/>
      </c>
      <c r="D82" s="37" t="str">
        <f>IF(B82="","",IFERROR(INDEX('Risk Register'!$O$6:$O$105,MATCH(B82,'Risk Register'!$A$6:$A$105,0)),""))</f>
        <v/>
      </c>
      <c r="E82" s="35"/>
      <c r="F82" s="24"/>
      <c r="G82" s="35"/>
      <c r="H82" s="35"/>
      <c r="I82" s="35"/>
      <c r="J82" s="35"/>
      <c r="K82" s="46"/>
      <c r="L82" s="36"/>
      <c r="M82" s="45" t="str">
        <f t="shared" si="4"/>
        <v/>
      </c>
      <c r="N82" s="37" t="str">
        <f t="shared" si="5"/>
        <v/>
      </c>
      <c r="O82" s="37" t="str">
        <f>IF(A82="","",IF(M82="","No test date",IF(M82&lt;Methodology!$B$4,"Overdue","Current")))</f>
        <v/>
      </c>
      <c r="P82" s="24"/>
    </row>
    <row r="83" spans="1:16" x14ac:dyDescent="0.35">
      <c r="A83" s="35"/>
      <c r="B83" s="35"/>
      <c r="C83" s="44" t="str">
        <f>IF(B83="","",IFERROR(INDEX('Risk Register'!$B$6:$B$105,MATCH(B83,'Risk Register'!$A$6:$A$105,0)),"Unknown Risk ID"))</f>
        <v/>
      </c>
      <c r="D83" s="37" t="str">
        <f>IF(B83="","",IFERROR(INDEX('Risk Register'!$O$6:$O$105,MATCH(B83,'Risk Register'!$A$6:$A$105,0)),""))</f>
        <v/>
      </c>
      <c r="E83" s="35"/>
      <c r="F83" s="24"/>
      <c r="G83" s="35"/>
      <c r="H83" s="35"/>
      <c r="I83" s="35"/>
      <c r="J83" s="35"/>
      <c r="K83" s="46"/>
      <c r="L83" s="36"/>
      <c r="M83" s="45" t="str">
        <f t="shared" si="4"/>
        <v/>
      </c>
      <c r="N83" s="37" t="str">
        <f t="shared" si="5"/>
        <v/>
      </c>
      <c r="O83" s="37" t="str">
        <f>IF(A83="","",IF(M83="","No test date",IF(M83&lt;Methodology!$B$4,"Overdue","Current")))</f>
        <v/>
      </c>
      <c r="P83" s="24"/>
    </row>
    <row r="84" spans="1:16" x14ac:dyDescent="0.35">
      <c r="A84" s="35"/>
      <c r="B84" s="35"/>
      <c r="C84" s="44" t="str">
        <f>IF(B84="","",IFERROR(INDEX('Risk Register'!$B$6:$B$105,MATCH(B84,'Risk Register'!$A$6:$A$105,0)),"Unknown Risk ID"))</f>
        <v/>
      </c>
      <c r="D84" s="37" t="str">
        <f>IF(B84="","",IFERROR(INDEX('Risk Register'!$O$6:$O$105,MATCH(B84,'Risk Register'!$A$6:$A$105,0)),""))</f>
        <v/>
      </c>
      <c r="E84" s="35"/>
      <c r="F84" s="24"/>
      <c r="G84" s="35"/>
      <c r="H84" s="35"/>
      <c r="I84" s="35"/>
      <c r="J84" s="35"/>
      <c r="K84" s="46"/>
      <c r="L84" s="36"/>
      <c r="M84" s="45" t="str">
        <f t="shared" si="4"/>
        <v/>
      </c>
      <c r="N84" s="37" t="str">
        <f t="shared" si="5"/>
        <v/>
      </c>
      <c r="O84" s="37" t="str">
        <f>IF(A84="","",IF(M84="","No test date",IF(M84&lt;Methodology!$B$4,"Overdue","Current")))</f>
        <v/>
      </c>
      <c r="P84" s="24"/>
    </row>
    <row r="85" spans="1:16" x14ac:dyDescent="0.35">
      <c r="A85" s="35"/>
      <c r="B85" s="35"/>
      <c r="C85" s="44" t="str">
        <f>IF(B85="","",IFERROR(INDEX('Risk Register'!$B$6:$B$105,MATCH(B85,'Risk Register'!$A$6:$A$105,0)),"Unknown Risk ID"))</f>
        <v/>
      </c>
      <c r="D85" s="37" t="str">
        <f>IF(B85="","",IFERROR(INDEX('Risk Register'!$O$6:$O$105,MATCH(B85,'Risk Register'!$A$6:$A$105,0)),""))</f>
        <v/>
      </c>
      <c r="E85" s="35"/>
      <c r="F85" s="24"/>
      <c r="G85" s="35"/>
      <c r="H85" s="35"/>
      <c r="I85" s="35"/>
      <c r="J85" s="35"/>
      <c r="K85" s="46"/>
      <c r="L85" s="36"/>
      <c r="M85" s="45" t="str">
        <f t="shared" si="4"/>
        <v/>
      </c>
      <c r="N85" s="37" t="str">
        <f t="shared" si="5"/>
        <v/>
      </c>
      <c r="O85" s="37" t="str">
        <f>IF(A85="","",IF(M85="","No test date",IF(M85&lt;Methodology!$B$4,"Overdue","Current")))</f>
        <v/>
      </c>
      <c r="P85" s="24"/>
    </row>
    <row r="86" spans="1:16" x14ac:dyDescent="0.35">
      <c r="A86" s="35"/>
      <c r="B86" s="35"/>
      <c r="C86" s="44" t="str">
        <f>IF(B86="","",IFERROR(INDEX('Risk Register'!$B$6:$B$105,MATCH(B86,'Risk Register'!$A$6:$A$105,0)),"Unknown Risk ID"))</f>
        <v/>
      </c>
      <c r="D86" s="37" t="str">
        <f>IF(B86="","",IFERROR(INDEX('Risk Register'!$O$6:$O$105,MATCH(B86,'Risk Register'!$A$6:$A$105,0)),""))</f>
        <v/>
      </c>
      <c r="E86" s="35"/>
      <c r="F86" s="24"/>
      <c r="G86" s="35"/>
      <c r="H86" s="35"/>
      <c r="I86" s="35"/>
      <c r="J86" s="35"/>
      <c r="K86" s="46"/>
      <c r="L86" s="36"/>
      <c r="M86" s="45" t="str">
        <f t="shared" si="4"/>
        <v/>
      </c>
      <c r="N86" s="37" t="str">
        <f t="shared" si="5"/>
        <v/>
      </c>
      <c r="O86" s="37" t="str">
        <f>IF(A86="","",IF(M86="","No test date",IF(M86&lt;Methodology!$B$4,"Overdue","Current")))</f>
        <v/>
      </c>
      <c r="P86" s="24"/>
    </row>
    <row r="87" spans="1:16" x14ac:dyDescent="0.35">
      <c r="A87" s="35"/>
      <c r="B87" s="35"/>
      <c r="C87" s="44" t="str">
        <f>IF(B87="","",IFERROR(INDEX('Risk Register'!$B$6:$B$105,MATCH(B87,'Risk Register'!$A$6:$A$105,0)),"Unknown Risk ID"))</f>
        <v/>
      </c>
      <c r="D87" s="37" t="str">
        <f>IF(B87="","",IFERROR(INDEX('Risk Register'!$O$6:$O$105,MATCH(B87,'Risk Register'!$A$6:$A$105,0)),""))</f>
        <v/>
      </c>
      <c r="E87" s="35"/>
      <c r="F87" s="24"/>
      <c r="G87" s="35"/>
      <c r="H87" s="35"/>
      <c r="I87" s="35"/>
      <c r="J87" s="35"/>
      <c r="K87" s="46"/>
      <c r="L87" s="36"/>
      <c r="M87" s="45" t="str">
        <f t="shared" si="4"/>
        <v/>
      </c>
      <c r="N87" s="37" t="str">
        <f t="shared" si="5"/>
        <v/>
      </c>
      <c r="O87" s="37" t="str">
        <f>IF(A87="","",IF(M87="","No test date",IF(M87&lt;Methodology!$B$4,"Overdue","Current")))</f>
        <v/>
      </c>
      <c r="P87" s="24"/>
    </row>
    <row r="88" spans="1:16" x14ac:dyDescent="0.35">
      <c r="A88" s="35"/>
      <c r="B88" s="35"/>
      <c r="C88" s="44" t="str">
        <f>IF(B88="","",IFERROR(INDEX('Risk Register'!$B$6:$B$105,MATCH(B88,'Risk Register'!$A$6:$A$105,0)),"Unknown Risk ID"))</f>
        <v/>
      </c>
      <c r="D88" s="37" t="str">
        <f>IF(B88="","",IFERROR(INDEX('Risk Register'!$O$6:$O$105,MATCH(B88,'Risk Register'!$A$6:$A$105,0)),""))</f>
        <v/>
      </c>
      <c r="E88" s="35"/>
      <c r="F88" s="24"/>
      <c r="G88" s="35"/>
      <c r="H88" s="35"/>
      <c r="I88" s="35"/>
      <c r="J88" s="35"/>
      <c r="K88" s="46"/>
      <c r="L88" s="36"/>
      <c r="M88" s="45" t="str">
        <f t="shared" si="4"/>
        <v/>
      </c>
      <c r="N88" s="37" t="str">
        <f t="shared" si="5"/>
        <v/>
      </c>
      <c r="O88" s="37" t="str">
        <f>IF(A88="","",IF(M88="","No test date",IF(M88&lt;Methodology!$B$4,"Overdue","Current")))</f>
        <v/>
      </c>
      <c r="P88" s="24"/>
    </row>
    <row r="89" spans="1:16" x14ac:dyDescent="0.35">
      <c r="A89" s="35"/>
      <c r="B89" s="35"/>
      <c r="C89" s="44" t="str">
        <f>IF(B89="","",IFERROR(INDEX('Risk Register'!$B$6:$B$105,MATCH(B89,'Risk Register'!$A$6:$A$105,0)),"Unknown Risk ID"))</f>
        <v/>
      </c>
      <c r="D89" s="37" t="str">
        <f>IF(B89="","",IFERROR(INDEX('Risk Register'!$O$6:$O$105,MATCH(B89,'Risk Register'!$A$6:$A$105,0)),""))</f>
        <v/>
      </c>
      <c r="E89" s="35"/>
      <c r="F89" s="24"/>
      <c r="G89" s="35"/>
      <c r="H89" s="35"/>
      <c r="I89" s="35"/>
      <c r="J89" s="35"/>
      <c r="K89" s="46"/>
      <c r="L89" s="36"/>
      <c r="M89" s="45" t="str">
        <f t="shared" si="4"/>
        <v/>
      </c>
      <c r="N89" s="37" t="str">
        <f t="shared" si="5"/>
        <v/>
      </c>
      <c r="O89" s="37" t="str">
        <f>IF(A89="","",IF(M89="","No test date",IF(M89&lt;Methodology!$B$4,"Overdue","Current")))</f>
        <v/>
      </c>
      <c r="P89" s="24"/>
    </row>
    <row r="90" spans="1:16" x14ac:dyDescent="0.35">
      <c r="A90" s="35"/>
      <c r="B90" s="35"/>
      <c r="C90" s="44" t="str">
        <f>IF(B90="","",IFERROR(INDEX('Risk Register'!$B$6:$B$105,MATCH(B90,'Risk Register'!$A$6:$A$105,0)),"Unknown Risk ID"))</f>
        <v/>
      </c>
      <c r="D90" s="37" t="str">
        <f>IF(B90="","",IFERROR(INDEX('Risk Register'!$O$6:$O$105,MATCH(B90,'Risk Register'!$A$6:$A$105,0)),""))</f>
        <v/>
      </c>
      <c r="E90" s="35"/>
      <c r="F90" s="24"/>
      <c r="G90" s="35"/>
      <c r="H90" s="35"/>
      <c r="I90" s="35"/>
      <c r="J90" s="35"/>
      <c r="K90" s="46"/>
      <c r="L90" s="36"/>
      <c r="M90" s="45" t="str">
        <f t="shared" si="4"/>
        <v/>
      </c>
      <c r="N90" s="37" t="str">
        <f t="shared" si="5"/>
        <v/>
      </c>
      <c r="O90" s="37" t="str">
        <f>IF(A90="","",IF(M90="","No test date",IF(M90&lt;Methodology!$B$4,"Overdue","Current")))</f>
        <v/>
      </c>
      <c r="P90" s="24"/>
    </row>
    <row r="91" spans="1:16" x14ac:dyDescent="0.35">
      <c r="A91" s="35"/>
      <c r="B91" s="35"/>
      <c r="C91" s="44" t="str">
        <f>IF(B91="","",IFERROR(INDEX('Risk Register'!$B$6:$B$105,MATCH(B91,'Risk Register'!$A$6:$A$105,0)),"Unknown Risk ID"))</f>
        <v/>
      </c>
      <c r="D91" s="37" t="str">
        <f>IF(B91="","",IFERROR(INDEX('Risk Register'!$O$6:$O$105,MATCH(B91,'Risk Register'!$A$6:$A$105,0)),""))</f>
        <v/>
      </c>
      <c r="E91" s="35"/>
      <c r="F91" s="24"/>
      <c r="G91" s="35"/>
      <c r="H91" s="35"/>
      <c r="I91" s="35"/>
      <c r="J91" s="35"/>
      <c r="K91" s="46"/>
      <c r="L91" s="36"/>
      <c r="M91" s="45" t="str">
        <f t="shared" si="4"/>
        <v/>
      </c>
      <c r="N91" s="37" t="str">
        <f t="shared" si="5"/>
        <v/>
      </c>
      <c r="O91" s="37" t="str">
        <f>IF(A91="","",IF(M91="","No test date",IF(M91&lt;Methodology!$B$4,"Overdue","Current")))</f>
        <v/>
      </c>
      <c r="P91" s="24"/>
    </row>
    <row r="92" spans="1:16" x14ac:dyDescent="0.35">
      <c r="A92" s="35"/>
      <c r="B92" s="35"/>
      <c r="C92" s="44" t="str">
        <f>IF(B92="","",IFERROR(INDEX('Risk Register'!$B$6:$B$105,MATCH(B92,'Risk Register'!$A$6:$A$105,0)),"Unknown Risk ID"))</f>
        <v/>
      </c>
      <c r="D92" s="37" t="str">
        <f>IF(B92="","",IFERROR(INDEX('Risk Register'!$O$6:$O$105,MATCH(B92,'Risk Register'!$A$6:$A$105,0)),""))</f>
        <v/>
      </c>
      <c r="E92" s="35"/>
      <c r="F92" s="24"/>
      <c r="G92" s="35"/>
      <c r="H92" s="35"/>
      <c r="I92" s="35"/>
      <c r="J92" s="35"/>
      <c r="K92" s="46"/>
      <c r="L92" s="36"/>
      <c r="M92" s="45" t="str">
        <f t="shared" si="4"/>
        <v/>
      </c>
      <c r="N92" s="37" t="str">
        <f t="shared" si="5"/>
        <v/>
      </c>
      <c r="O92" s="37" t="str">
        <f>IF(A92="","",IF(M92="","No test date",IF(M92&lt;Methodology!$B$4,"Overdue","Current")))</f>
        <v/>
      </c>
      <c r="P92" s="24"/>
    </row>
    <row r="93" spans="1:16" x14ac:dyDescent="0.35">
      <c r="A93" s="35"/>
      <c r="B93" s="35"/>
      <c r="C93" s="44" t="str">
        <f>IF(B93="","",IFERROR(INDEX('Risk Register'!$B$6:$B$105,MATCH(B93,'Risk Register'!$A$6:$A$105,0)),"Unknown Risk ID"))</f>
        <v/>
      </c>
      <c r="D93" s="37" t="str">
        <f>IF(B93="","",IFERROR(INDEX('Risk Register'!$O$6:$O$105,MATCH(B93,'Risk Register'!$A$6:$A$105,0)),""))</f>
        <v/>
      </c>
      <c r="E93" s="35"/>
      <c r="F93" s="24"/>
      <c r="G93" s="35"/>
      <c r="H93" s="35"/>
      <c r="I93" s="35"/>
      <c r="J93" s="35"/>
      <c r="K93" s="46"/>
      <c r="L93" s="36"/>
      <c r="M93" s="45" t="str">
        <f t="shared" si="4"/>
        <v/>
      </c>
      <c r="N93" s="37" t="str">
        <f t="shared" si="5"/>
        <v/>
      </c>
      <c r="O93" s="37" t="str">
        <f>IF(A93="","",IF(M93="","No test date",IF(M93&lt;Methodology!$B$4,"Overdue","Current")))</f>
        <v/>
      </c>
      <c r="P93" s="24"/>
    </row>
    <row r="94" spans="1:16" x14ac:dyDescent="0.35">
      <c r="A94" s="35"/>
      <c r="B94" s="35"/>
      <c r="C94" s="44" t="str">
        <f>IF(B94="","",IFERROR(INDEX('Risk Register'!$B$6:$B$105,MATCH(B94,'Risk Register'!$A$6:$A$105,0)),"Unknown Risk ID"))</f>
        <v/>
      </c>
      <c r="D94" s="37" t="str">
        <f>IF(B94="","",IFERROR(INDEX('Risk Register'!$O$6:$O$105,MATCH(B94,'Risk Register'!$A$6:$A$105,0)),""))</f>
        <v/>
      </c>
      <c r="E94" s="35"/>
      <c r="F94" s="24"/>
      <c r="G94" s="35"/>
      <c r="H94" s="35"/>
      <c r="I94" s="35"/>
      <c r="J94" s="35"/>
      <c r="K94" s="46"/>
      <c r="L94" s="36"/>
      <c r="M94" s="45" t="str">
        <f t="shared" si="4"/>
        <v/>
      </c>
      <c r="N94" s="37" t="str">
        <f t="shared" si="5"/>
        <v/>
      </c>
      <c r="O94" s="37" t="str">
        <f>IF(A94="","",IF(M94="","No test date",IF(M94&lt;Methodology!$B$4,"Overdue","Current")))</f>
        <v/>
      </c>
      <c r="P94" s="24"/>
    </row>
    <row r="95" spans="1:16" x14ac:dyDescent="0.35">
      <c r="A95" s="35"/>
      <c r="B95" s="35"/>
      <c r="C95" s="44" t="str">
        <f>IF(B95="","",IFERROR(INDEX('Risk Register'!$B$6:$B$105,MATCH(B95,'Risk Register'!$A$6:$A$105,0)),"Unknown Risk ID"))</f>
        <v/>
      </c>
      <c r="D95" s="37" t="str">
        <f>IF(B95="","",IFERROR(INDEX('Risk Register'!$O$6:$O$105,MATCH(B95,'Risk Register'!$A$6:$A$105,0)),""))</f>
        <v/>
      </c>
      <c r="E95" s="35"/>
      <c r="F95" s="24"/>
      <c r="G95" s="35"/>
      <c r="H95" s="35"/>
      <c r="I95" s="35"/>
      <c r="J95" s="35"/>
      <c r="K95" s="46"/>
      <c r="L95" s="36"/>
      <c r="M95" s="45" t="str">
        <f t="shared" si="4"/>
        <v/>
      </c>
      <c r="N95" s="37" t="str">
        <f t="shared" si="5"/>
        <v/>
      </c>
      <c r="O95" s="37" t="str">
        <f>IF(A95="","",IF(M95="","No test date",IF(M95&lt;Methodology!$B$4,"Overdue","Current")))</f>
        <v/>
      </c>
      <c r="P95" s="24"/>
    </row>
    <row r="96" spans="1:16" x14ac:dyDescent="0.35">
      <c r="A96" s="35"/>
      <c r="B96" s="35"/>
      <c r="C96" s="44" t="str">
        <f>IF(B96="","",IFERROR(INDEX('Risk Register'!$B$6:$B$105,MATCH(B96,'Risk Register'!$A$6:$A$105,0)),"Unknown Risk ID"))</f>
        <v/>
      </c>
      <c r="D96" s="37" t="str">
        <f>IF(B96="","",IFERROR(INDEX('Risk Register'!$O$6:$O$105,MATCH(B96,'Risk Register'!$A$6:$A$105,0)),""))</f>
        <v/>
      </c>
      <c r="E96" s="35"/>
      <c r="F96" s="24"/>
      <c r="G96" s="35"/>
      <c r="H96" s="35"/>
      <c r="I96" s="35"/>
      <c r="J96" s="35"/>
      <c r="K96" s="46"/>
      <c r="L96" s="36"/>
      <c r="M96" s="45" t="str">
        <f t="shared" si="4"/>
        <v/>
      </c>
      <c r="N96" s="37" t="str">
        <f t="shared" si="5"/>
        <v/>
      </c>
      <c r="O96" s="37" t="str">
        <f>IF(A96="","",IF(M96="","No test date",IF(M96&lt;Methodology!$B$4,"Overdue","Current")))</f>
        <v/>
      </c>
      <c r="P96" s="24"/>
    </row>
    <row r="97" spans="1:16" x14ac:dyDescent="0.35">
      <c r="A97" s="35"/>
      <c r="B97" s="35"/>
      <c r="C97" s="44" t="str">
        <f>IF(B97="","",IFERROR(INDEX('Risk Register'!$B$6:$B$105,MATCH(B97,'Risk Register'!$A$6:$A$105,0)),"Unknown Risk ID"))</f>
        <v/>
      </c>
      <c r="D97" s="37" t="str">
        <f>IF(B97="","",IFERROR(INDEX('Risk Register'!$O$6:$O$105,MATCH(B97,'Risk Register'!$A$6:$A$105,0)),""))</f>
        <v/>
      </c>
      <c r="E97" s="35"/>
      <c r="F97" s="24"/>
      <c r="G97" s="35"/>
      <c r="H97" s="35"/>
      <c r="I97" s="35"/>
      <c r="J97" s="35"/>
      <c r="K97" s="46"/>
      <c r="L97" s="36"/>
      <c r="M97" s="45" t="str">
        <f t="shared" si="4"/>
        <v/>
      </c>
      <c r="N97" s="37" t="str">
        <f t="shared" si="5"/>
        <v/>
      </c>
      <c r="O97" s="37" t="str">
        <f>IF(A97="","",IF(M97="","No test date",IF(M97&lt;Methodology!$B$4,"Overdue","Current")))</f>
        <v/>
      </c>
      <c r="P97" s="24"/>
    </row>
    <row r="98" spans="1:16" x14ac:dyDescent="0.35">
      <c r="A98" s="35"/>
      <c r="B98" s="35"/>
      <c r="C98" s="44" t="str">
        <f>IF(B98="","",IFERROR(INDEX('Risk Register'!$B$6:$B$105,MATCH(B98,'Risk Register'!$A$6:$A$105,0)),"Unknown Risk ID"))</f>
        <v/>
      </c>
      <c r="D98" s="37" t="str">
        <f>IF(B98="","",IFERROR(INDEX('Risk Register'!$O$6:$O$105,MATCH(B98,'Risk Register'!$A$6:$A$105,0)),""))</f>
        <v/>
      </c>
      <c r="E98" s="35"/>
      <c r="F98" s="24"/>
      <c r="G98" s="35"/>
      <c r="H98" s="35"/>
      <c r="I98" s="35"/>
      <c r="J98" s="35"/>
      <c r="K98" s="46"/>
      <c r="L98" s="36"/>
      <c r="M98" s="45" t="str">
        <f t="shared" si="4"/>
        <v/>
      </c>
      <c r="N98" s="37" t="str">
        <f t="shared" si="5"/>
        <v/>
      </c>
      <c r="O98" s="37" t="str">
        <f>IF(A98="","",IF(M98="","No test date",IF(M98&lt;Methodology!$B$4,"Overdue","Current")))</f>
        <v/>
      </c>
      <c r="P98" s="24"/>
    </row>
    <row r="99" spans="1:16" x14ac:dyDescent="0.35">
      <c r="A99" s="35"/>
      <c r="B99" s="35"/>
      <c r="C99" s="44" t="str">
        <f>IF(B99="","",IFERROR(INDEX('Risk Register'!$B$6:$B$105,MATCH(B99,'Risk Register'!$A$6:$A$105,0)),"Unknown Risk ID"))</f>
        <v/>
      </c>
      <c r="D99" s="37" t="str">
        <f>IF(B99="","",IFERROR(INDEX('Risk Register'!$O$6:$O$105,MATCH(B99,'Risk Register'!$A$6:$A$105,0)),""))</f>
        <v/>
      </c>
      <c r="E99" s="35"/>
      <c r="F99" s="24"/>
      <c r="G99" s="35"/>
      <c r="H99" s="35"/>
      <c r="I99" s="35"/>
      <c r="J99" s="35"/>
      <c r="K99" s="46"/>
      <c r="L99" s="36"/>
      <c r="M99" s="45" t="str">
        <f t="shared" si="4"/>
        <v/>
      </c>
      <c r="N99" s="37" t="str">
        <f t="shared" si="5"/>
        <v/>
      </c>
      <c r="O99" s="37" t="str">
        <f>IF(A99="","",IF(M99="","No test date",IF(M99&lt;Methodology!$B$4,"Overdue","Current")))</f>
        <v/>
      </c>
      <c r="P99" s="24"/>
    </row>
    <row r="100" spans="1:16" x14ac:dyDescent="0.35">
      <c r="A100" s="35"/>
      <c r="B100" s="35"/>
      <c r="C100" s="44" t="str">
        <f>IF(B100="","",IFERROR(INDEX('Risk Register'!$B$6:$B$105,MATCH(B100,'Risk Register'!$A$6:$A$105,0)),"Unknown Risk ID"))</f>
        <v/>
      </c>
      <c r="D100" s="37" t="str">
        <f>IF(B100="","",IFERROR(INDEX('Risk Register'!$O$6:$O$105,MATCH(B100,'Risk Register'!$A$6:$A$105,0)),""))</f>
        <v/>
      </c>
      <c r="E100" s="35"/>
      <c r="F100" s="24"/>
      <c r="G100" s="35"/>
      <c r="H100" s="35"/>
      <c r="I100" s="35"/>
      <c r="J100" s="35"/>
      <c r="K100" s="46"/>
      <c r="L100" s="36"/>
      <c r="M100" s="45" t="str">
        <f t="shared" si="4"/>
        <v/>
      </c>
      <c r="N100" s="37" t="str">
        <f t="shared" si="5"/>
        <v/>
      </c>
      <c r="O100" s="37" t="str">
        <f>IF(A100="","",IF(M100="","No test date",IF(M100&lt;Methodology!$B$4,"Overdue","Current")))</f>
        <v/>
      </c>
      <c r="P100" s="24"/>
    </row>
    <row r="101" spans="1:16" x14ac:dyDescent="0.35">
      <c r="A101" s="35"/>
      <c r="B101" s="35"/>
      <c r="C101" s="44" t="str">
        <f>IF(B101="","",IFERROR(INDEX('Risk Register'!$B$6:$B$105,MATCH(B101,'Risk Register'!$A$6:$A$105,0)),"Unknown Risk ID"))</f>
        <v/>
      </c>
      <c r="D101" s="37" t="str">
        <f>IF(B101="","",IFERROR(INDEX('Risk Register'!$O$6:$O$105,MATCH(B101,'Risk Register'!$A$6:$A$105,0)),""))</f>
        <v/>
      </c>
      <c r="E101" s="35"/>
      <c r="F101" s="24"/>
      <c r="G101" s="35"/>
      <c r="H101" s="35"/>
      <c r="I101" s="35"/>
      <c r="J101" s="35"/>
      <c r="K101" s="46"/>
      <c r="L101" s="36"/>
      <c r="M101" s="45" t="str">
        <f t="shared" si="4"/>
        <v/>
      </c>
      <c r="N101" s="37" t="str">
        <f t="shared" si="5"/>
        <v/>
      </c>
      <c r="O101" s="37" t="str">
        <f>IF(A101="","",IF(M101="","No test date",IF(M101&lt;Methodology!$B$4,"Overdue","Current")))</f>
        <v/>
      </c>
      <c r="P101" s="24"/>
    </row>
    <row r="102" spans="1:16" x14ac:dyDescent="0.35">
      <c r="A102" s="35"/>
      <c r="B102" s="35"/>
      <c r="C102" s="44" t="str">
        <f>IF(B102="","",IFERROR(INDEX('Risk Register'!$B$6:$B$105,MATCH(B102,'Risk Register'!$A$6:$A$105,0)),"Unknown Risk ID"))</f>
        <v/>
      </c>
      <c r="D102" s="37" t="str">
        <f>IF(B102="","",IFERROR(INDEX('Risk Register'!$O$6:$O$105,MATCH(B102,'Risk Register'!$A$6:$A$105,0)),""))</f>
        <v/>
      </c>
      <c r="E102" s="35"/>
      <c r="F102" s="24"/>
      <c r="G102" s="35"/>
      <c r="H102" s="35"/>
      <c r="I102" s="35"/>
      <c r="J102" s="35"/>
      <c r="K102" s="46"/>
      <c r="L102" s="36"/>
      <c r="M102" s="45" t="str">
        <f t="shared" ref="M102:M133" si="6">IF(OR(K102="",L102=""),"",K102+L102)</f>
        <v/>
      </c>
      <c r="N102" s="37" t="str">
        <f t="shared" ref="N102:N133" si="7">IF(OR(A102="",I102="",J102=""),"",IF(OR(I102="Ineffective",J102="Ineffective"),"Ineffective",IF(J102="Not tested","Not tested",IF(OR(I102="Partially effective",J102="Partially effective"),"Partially effective","Effective"))))</f>
        <v/>
      </c>
      <c r="O102" s="37" t="str">
        <f>IF(A102="","",IF(M102="","No test date",IF(M102&lt;Methodology!$B$4,"Overdue","Current")))</f>
        <v/>
      </c>
      <c r="P102" s="24"/>
    </row>
    <row r="103" spans="1:16" x14ac:dyDescent="0.35">
      <c r="A103" s="35"/>
      <c r="B103" s="35"/>
      <c r="C103" s="44" t="str">
        <f>IF(B103="","",IFERROR(INDEX('Risk Register'!$B$6:$B$105,MATCH(B103,'Risk Register'!$A$6:$A$105,0)),"Unknown Risk ID"))</f>
        <v/>
      </c>
      <c r="D103" s="37" t="str">
        <f>IF(B103="","",IFERROR(INDEX('Risk Register'!$O$6:$O$105,MATCH(B103,'Risk Register'!$A$6:$A$105,0)),""))</f>
        <v/>
      </c>
      <c r="E103" s="35"/>
      <c r="F103" s="24"/>
      <c r="G103" s="35"/>
      <c r="H103" s="35"/>
      <c r="I103" s="35"/>
      <c r="J103" s="35"/>
      <c r="K103" s="46"/>
      <c r="L103" s="36"/>
      <c r="M103" s="45" t="str">
        <f t="shared" si="6"/>
        <v/>
      </c>
      <c r="N103" s="37" t="str">
        <f t="shared" si="7"/>
        <v/>
      </c>
      <c r="O103" s="37" t="str">
        <f>IF(A103="","",IF(M103="","No test date",IF(M103&lt;Methodology!$B$4,"Overdue","Current")))</f>
        <v/>
      </c>
      <c r="P103" s="24"/>
    </row>
    <row r="104" spans="1:16" x14ac:dyDescent="0.35">
      <c r="A104" s="35"/>
      <c r="B104" s="35"/>
      <c r="C104" s="44" t="str">
        <f>IF(B104="","",IFERROR(INDEX('Risk Register'!$B$6:$B$105,MATCH(B104,'Risk Register'!$A$6:$A$105,0)),"Unknown Risk ID"))</f>
        <v/>
      </c>
      <c r="D104" s="37" t="str">
        <f>IF(B104="","",IFERROR(INDEX('Risk Register'!$O$6:$O$105,MATCH(B104,'Risk Register'!$A$6:$A$105,0)),""))</f>
        <v/>
      </c>
      <c r="E104" s="35"/>
      <c r="F104" s="24"/>
      <c r="G104" s="35"/>
      <c r="H104" s="35"/>
      <c r="I104" s="35"/>
      <c r="J104" s="35"/>
      <c r="K104" s="46"/>
      <c r="L104" s="36"/>
      <c r="M104" s="45" t="str">
        <f t="shared" si="6"/>
        <v/>
      </c>
      <c r="N104" s="37" t="str">
        <f t="shared" si="7"/>
        <v/>
      </c>
      <c r="O104" s="37" t="str">
        <f>IF(A104="","",IF(M104="","No test date",IF(M104&lt;Methodology!$B$4,"Overdue","Current")))</f>
        <v/>
      </c>
      <c r="P104" s="24"/>
    </row>
    <row r="105" spans="1:16" x14ac:dyDescent="0.35">
      <c r="A105" s="35"/>
      <c r="B105" s="35"/>
      <c r="C105" s="44" t="str">
        <f>IF(B105="","",IFERROR(INDEX('Risk Register'!$B$6:$B$105,MATCH(B105,'Risk Register'!$A$6:$A$105,0)),"Unknown Risk ID"))</f>
        <v/>
      </c>
      <c r="D105" s="37" t="str">
        <f>IF(B105="","",IFERROR(INDEX('Risk Register'!$O$6:$O$105,MATCH(B105,'Risk Register'!$A$6:$A$105,0)),""))</f>
        <v/>
      </c>
      <c r="E105" s="35"/>
      <c r="F105" s="24"/>
      <c r="G105" s="35"/>
      <c r="H105" s="35"/>
      <c r="I105" s="35"/>
      <c r="J105" s="35"/>
      <c r="K105" s="46"/>
      <c r="L105" s="36"/>
      <c r="M105" s="45" t="str">
        <f t="shared" si="6"/>
        <v/>
      </c>
      <c r="N105" s="37" t="str">
        <f t="shared" si="7"/>
        <v/>
      </c>
      <c r="O105" s="37" t="str">
        <f>IF(A105="","",IF(M105="","No test date",IF(M105&lt;Methodology!$B$4,"Overdue","Current")))</f>
        <v/>
      </c>
      <c r="P105" s="24"/>
    </row>
    <row r="106" spans="1:16" x14ac:dyDescent="0.35">
      <c r="A106" s="35"/>
      <c r="B106" s="35"/>
      <c r="C106" s="44" t="str">
        <f>IF(B106="","",IFERROR(INDEX('Risk Register'!$B$6:$B$105,MATCH(B106,'Risk Register'!$A$6:$A$105,0)),"Unknown Risk ID"))</f>
        <v/>
      </c>
      <c r="D106" s="37" t="str">
        <f>IF(B106="","",IFERROR(INDEX('Risk Register'!$O$6:$O$105,MATCH(B106,'Risk Register'!$A$6:$A$105,0)),""))</f>
        <v/>
      </c>
      <c r="E106" s="35"/>
      <c r="F106" s="24"/>
      <c r="G106" s="35"/>
      <c r="H106" s="35"/>
      <c r="I106" s="35"/>
      <c r="J106" s="35"/>
      <c r="K106" s="46"/>
      <c r="L106" s="36"/>
      <c r="M106" s="45" t="str">
        <f t="shared" si="6"/>
        <v/>
      </c>
      <c r="N106" s="37" t="str">
        <f t="shared" si="7"/>
        <v/>
      </c>
      <c r="O106" s="37" t="str">
        <f>IF(A106="","",IF(M106="","No test date",IF(M106&lt;Methodology!$B$4,"Overdue","Current")))</f>
        <v/>
      </c>
      <c r="P106" s="24"/>
    </row>
    <row r="107" spans="1:16" x14ac:dyDescent="0.35">
      <c r="A107" s="35"/>
      <c r="B107" s="35"/>
      <c r="C107" s="44" t="str">
        <f>IF(B107="","",IFERROR(INDEX('Risk Register'!$B$6:$B$105,MATCH(B107,'Risk Register'!$A$6:$A$105,0)),"Unknown Risk ID"))</f>
        <v/>
      </c>
      <c r="D107" s="37" t="str">
        <f>IF(B107="","",IFERROR(INDEX('Risk Register'!$O$6:$O$105,MATCH(B107,'Risk Register'!$A$6:$A$105,0)),""))</f>
        <v/>
      </c>
      <c r="E107" s="35"/>
      <c r="F107" s="24"/>
      <c r="G107" s="35"/>
      <c r="H107" s="35"/>
      <c r="I107" s="35"/>
      <c r="J107" s="35"/>
      <c r="K107" s="46"/>
      <c r="L107" s="36"/>
      <c r="M107" s="45" t="str">
        <f t="shared" si="6"/>
        <v/>
      </c>
      <c r="N107" s="37" t="str">
        <f t="shared" si="7"/>
        <v/>
      </c>
      <c r="O107" s="37" t="str">
        <f>IF(A107="","",IF(M107="","No test date",IF(M107&lt;Methodology!$B$4,"Overdue","Current")))</f>
        <v/>
      </c>
      <c r="P107" s="24"/>
    </row>
    <row r="108" spans="1:16" x14ac:dyDescent="0.35">
      <c r="A108" s="35"/>
      <c r="B108" s="35"/>
      <c r="C108" s="44" t="str">
        <f>IF(B108="","",IFERROR(INDEX('Risk Register'!$B$6:$B$105,MATCH(B108,'Risk Register'!$A$6:$A$105,0)),"Unknown Risk ID"))</f>
        <v/>
      </c>
      <c r="D108" s="37" t="str">
        <f>IF(B108="","",IFERROR(INDEX('Risk Register'!$O$6:$O$105,MATCH(B108,'Risk Register'!$A$6:$A$105,0)),""))</f>
        <v/>
      </c>
      <c r="E108" s="35"/>
      <c r="F108" s="24"/>
      <c r="G108" s="35"/>
      <c r="H108" s="35"/>
      <c r="I108" s="35"/>
      <c r="J108" s="35"/>
      <c r="K108" s="46"/>
      <c r="L108" s="36"/>
      <c r="M108" s="45" t="str">
        <f t="shared" si="6"/>
        <v/>
      </c>
      <c r="N108" s="37" t="str">
        <f t="shared" si="7"/>
        <v/>
      </c>
      <c r="O108" s="37" t="str">
        <f>IF(A108="","",IF(M108="","No test date",IF(M108&lt;Methodology!$B$4,"Overdue","Current")))</f>
        <v/>
      </c>
      <c r="P108" s="24"/>
    </row>
    <row r="109" spans="1:16" x14ac:dyDescent="0.35">
      <c r="A109" s="35"/>
      <c r="B109" s="35"/>
      <c r="C109" s="44" t="str">
        <f>IF(B109="","",IFERROR(INDEX('Risk Register'!$B$6:$B$105,MATCH(B109,'Risk Register'!$A$6:$A$105,0)),"Unknown Risk ID"))</f>
        <v/>
      </c>
      <c r="D109" s="37" t="str">
        <f>IF(B109="","",IFERROR(INDEX('Risk Register'!$O$6:$O$105,MATCH(B109,'Risk Register'!$A$6:$A$105,0)),""))</f>
        <v/>
      </c>
      <c r="E109" s="35"/>
      <c r="F109" s="24"/>
      <c r="G109" s="35"/>
      <c r="H109" s="35"/>
      <c r="I109" s="35"/>
      <c r="J109" s="35"/>
      <c r="K109" s="46"/>
      <c r="L109" s="36"/>
      <c r="M109" s="45" t="str">
        <f t="shared" si="6"/>
        <v/>
      </c>
      <c r="N109" s="37" t="str">
        <f t="shared" si="7"/>
        <v/>
      </c>
      <c r="O109" s="37" t="str">
        <f>IF(A109="","",IF(M109="","No test date",IF(M109&lt;Methodology!$B$4,"Overdue","Current")))</f>
        <v/>
      </c>
      <c r="P109" s="24"/>
    </row>
    <row r="110" spans="1:16" x14ac:dyDescent="0.35">
      <c r="A110" s="35"/>
      <c r="B110" s="35"/>
      <c r="C110" s="44" t="str">
        <f>IF(B110="","",IFERROR(INDEX('Risk Register'!$B$6:$B$105,MATCH(B110,'Risk Register'!$A$6:$A$105,0)),"Unknown Risk ID"))</f>
        <v/>
      </c>
      <c r="D110" s="37" t="str">
        <f>IF(B110="","",IFERROR(INDEX('Risk Register'!$O$6:$O$105,MATCH(B110,'Risk Register'!$A$6:$A$105,0)),""))</f>
        <v/>
      </c>
      <c r="E110" s="35"/>
      <c r="F110" s="24"/>
      <c r="G110" s="35"/>
      <c r="H110" s="35"/>
      <c r="I110" s="35"/>
      <c r="J110" s="35"/>
      <c r="K110" s="46"/>
      <c r="L110" s="36"/>
      <c r="M110" s="45" t="str">
        <f t="shared" si="6"/>
        <v/>
      </c>
      <c r="N110" s="37" t="str">
        <f t="shared" si="7"/>
        <v/>
      </c>
      <c r="O110" s="37" t="str">
        <f>IF(A110="","",IF(M110="","No test date",IF(M110&lt;Methodology!$B$4,"Overdue","Current")))</f>
        <v/>
      </c>
      <c r="P110" s="24"/>
    </row>
    <row r="111" spans="1:16" x14ac:dyDescent="0.35">
      <c r="A111" s="35"/>
      <c r="B111" s="35"/>
      <c r="C111" s="44" t="str">
        <f>IF(B111="","",IFERROR(INDEX('Risk Register'!$B$6:$B$105,MATCH(B111,'Risk Register'!$A$6:$A$105,0)),"Unknown Risk ID"))</f>
        <v/>
      </c>
      <c r="D111" s="37" t="str">
        <f>IF(B111="","",IFERROR(INDEX('Risk Register'!$O$6:$O$105,MATCH(B111,'Risk Register'!$A$6:$A$105,0)),""))</f>
        <v/>
      </c>
      <c r="E111" s="35"/>
      <c r="F111" s="24"/>
      <c r="G111" s="35"/>
      <c r="H111" s="35"/>
      <c r="I111" s="35"/>
      <c r="J111" s="35"/>
      <c r="K111" s="46"/>
      <c r="L111" s="36"/>
      <c r="M111" s="45" t="str">
        <f t="shared" si="6"/>
        <v/>
      </c>
      <c r="N111" s="37" t="str">
        <f t="shared" si="7"/>
        <v/>
      </c>
      <c r="O111" s="37" t="str">
        <f>IF(A111="","",IF(M111="","No test date",IF(M111&lt;Methodology!$B$4,"Overdue","Current")))</f>
        <v/>
      </c>
      <c r="P111" s="24"/>
    </row>
    <row r="112" spans="1:16" x14ac:dyDescent="0.35">
      <c r="A112" s="35"/>
      <c r="B112" s="35"/>
      <c r="C112" s="44" t="str">
        <f>IF(B112="","",IFERROR(INDEX('Risk Register'!$B$6:$B$105,MATCH(B112,'Risk Register'!$A$6:$A$105,0)),"Unknown Risk ID"))</f>
        <v/>
      </c>
      <c r="D112" s="37" t="str">
        <f>IF(B112="","",IFERROR(INDEX('Risk Register'!$O$6:$O$105,MATCH(B112,'Risk Register'!$A$6:$A$105,0)),""))</f>
        <v/>
      </c>
      <c r="E112" s="35"/>
      <c r="F112" s="24"/>
      <c r="G112" s="35"/>
      <c r="H112" s="35"/>
      <c r="I112" s="35"/>
      <c r="J112" s="35"/>
      <c r="K112" s="46"/>
      <c r="L112" s="36"/>
      <c r="M112" s="45" t="str">
        <f t="shared" si="6"/>
        <v/>
      </c>
      <c r="N112" s="37" t="str">
        <f t="shared" si="7"/>
        <v/>
      </c>
      <c r="O112" s="37" t="str">
        <f>IF(A112="","",IF(M112="","No test date",IF(M112&lt;Methodology!$B$4,"Overdue","Current")))</f>
        <v/>
      </c>
      <c r="P112" s="24"/>
    </row>
    <row r="113" spans="1:16" x14ac:dyDescent="0.35">
      <c r="A113" s="35"/>
      <c r="B113" s="35"/>
      <c r="C113" s="44" t="str">
        <f>IF(B113="","",IFERROR(INDEX('Risk Register'!$B$6:$B$105,MATCH(B113,'Risk Register'!$A$6:$A$105,0)),"Unknown Risk ID"))</f>
        <v/>
      </c>
      <c r="D113" s="37" t="str">
        <f>IF(B113="","",IFERROR(INDEX('Risk Register'!$O$6:$O$105,MATCH(B113,'Risk Register'!$A$6:$A$105,0)),""))</f>
        <v/>
      </c>
      <c r="E113" s="35"/>
      <c r="F113" s="24"/>
      <c r="G113" s="35"/>
      <c r="H113" s="35"/>
      <c r="I113" s="35"/>
      <c r="J113" s="35"/>
      <c r="K113" s="46"/>
      <c r="L113" s="36"/>
      <c r="M113" s="45" t="str">
        <f t="shared" si="6"/>
        <v/>
      </c>
      <c r="N113" s="37" t="str">
        <f t="shared" si="7"/>
        <v/>
      </c>
      <c r="O113" s="37" t="str">
        <f>IF(A113="","",IF(M113="","No test date",IF(M113&lt;Methodology!$B$4,"Overdue","Current")))</f>
        <v/>
      </c>
      <c r="P113" s="24"/>
    </row>
    <row r="114" spans="1:16" x14ac:dyDescent="0.35">
      <c r="A114" s="35"/>
      <c r="B114" s="35"/>
      <c r="C114" s="44" t="str">
        <f>IF(B114="","",IFERROR(INDEX('Risk Register'!$B$6:$B$105,MATCH(B114,'Risk Register'!$A$6:$A$105,0)),"Unknown Risk ID"))</f>
        <v/>
      </c>
      <c r="D114" s="37" t="str">
        <f>IF(B114="","",IFERROR(INDEX('Risk Register'!$O$6:$O$105,MATCH(B114,'Risk Register'!$A$6:$A$105,0)),""))</f>
        <v/>
      </c>
      <c r="E114" s="35"/>
      <c r="F114" s="24"/>
      <c r="G114" s="35"/>
      <c r="H114" s="35"/>
      <c r="I114" s="35"/>
      <c r="J114" s="35"/>
      <c r="K114" s="46"/>
      <c r="L114" s="36"/>
      <c r="M114" s="45" t="str">
        <f t="shared" si="6"/>
        <v/>
      </c>
      <c r="N114" s="37" t="str">
        <f t="shared" si="7"/>
        <v/>
      </c>
      <c r="O114" s="37" t="str">
        <f>IF(A114="","",IF(M114="","No test date",IF(M114&lt;Methodology!$B$4,"Overdue","Current")))</f>
        <v/>
      </c>
      <c r="P114" s="24"/>
    </row>
    <row r="115" spans="1:16" x14ac:dyDescent="0.35">
      <c r="A115" s="35"/>
      <c r="B115" s="35"/>
      <c r="C115" s="44" t="str">
        <f>IF(B115="","",IFERROR(INDEX('Risk Register'!$B$6:$B$105,MATCH(B115,'Risk Register'!$A$6:$A$105,0)),"Unknown Risk ID"))</f>
        <v/>
      </c>
      <c r="D115" s="37" t="str">
        <f>IF(B115="","",IFERROR(INDEX('Risk Register'!$O$6:$O$105,MATCH(B115,'Risk Register'!$A$6:$A$105,0)),""))</f>
        <v/>
      </c>
      <c r="E115" s="35"/>
      <c r="F115" s="24"/>
      <c r="G115" s="35"/>
      <c r="H115" s="35"/>
      <c r="I115" s="35"/>
      <c r="J115" s="35"/>
      <c r="K115" s="46"/>
      <c r="L115" s="36"/>
      <c r="M115" s="45" t="str">
        <f t="shared" si="6"/>
        <v/>
      </c>
      <c r="N115" s="37" t="str">
        <f t="shared" si="7"/>
        <v/>
      </c>
      <c r="O115" s="37" t="str">
        <f>IF(A115="","",IF(M115="","No test date",IF(M115&lt;Methodology!$B$4,"Overdue","Current")))</f>
        <v/>
      </c>
      <c r="P115" s="24"/>
    </row>
    <row r="116" spans="1:16" x14ac:dyDescent="0.35">
      <c r="A116" s="35"/>
      <c r="B116" s="35"/>
      <c r="C116" s="44" t="str">
        <f>IF(B116="","",IFERROR(INDEX('Risk Register'!$B$6:$B$105,MATCH(B116,'Risk Register'!$A$6:$A$105,0)),"Unknown Risk ID"))</f>
        <v/>
      </c>
      <c r="D116" s="37" t="str">
        <f>IF(B116="","",IFERROR(INDEX('Risk Register'!$O$6:$O$105,MATCH(B116,'Risk Register'!$A$6:$A$105,0)),""))</f>
        <v/>
      </c>
      <c r="E116" s="35"/>
      <c r="F116" s="24"/>
      <c r="G116" s="35"/>
      <c r="H116" s="35"/>
      <c r="I116" s="35"/>
      <c r="J116" s="35"/>
      <c r="K116" s="46"/>
      <c r="L116" s="36"/>
      <c r="M116" s="45" t="str">
        <f t="shared" si="6"/>
        <v/>
      </c>
      <c r="N116" s="37" t="str">
        <f t="shared" si="7"/>
        <v/>
      </c>
      <c r="O116" s="37" t="str">
        <f>IF(A116="","",IF(M116="","No test date",IF(M116&lt;Methodology!$B$4,"Overdue","Current")))</f>
        <v/>
      </c>
      <c r="P116" s="24"/>
    </row>
    <row r="117" spans="1:16" x14ac:dyDescent="0.35">
      <c r="A117" s="35"/>
      <c r="B117" s="35"/>
      <c r="C117" s="44" t="str">
        <f>IF(B117="","",IFERROR(INDEX('Risk Register'!$B$6:$B$105,MATCH(B117,'Risk Register'!$A$6:$A$105,0)),"Unknown Risk ID"))</f>
        <v/>
      </c>
      <c r="D117" s="37" t="str">
        <f>IF(B117="","",IFERROR(INDEX('Risk Register'!$O$6:$O$105,MATCH(B117,'Risk Register'!$A$6:$A$105,0)),""))</f>
        <v/>
      </c>
      <c r="E117" s="35"/>
      <c r="F117" s="24"/>
      <c r="G117" s="35"/>
      <c r="H117" s="35"/>
      <c r="I117" s="35"/>
      <c r="J117" s="35"/>
      <c r="K117" s="46"/>
      <c r="L117" s="36"/>
      <c r="M117" s="45" t="str">
        <f t="shared" si="6"/>
        <v/>
      </c>
      <c r="N117" s="37" t="str">
        <f t="shared" si="7"/>
        <v/>
      </c>
      <c r="O117" s="37" t="str">
        <f>IF(A117="","",IF(M117="","No test date",IF(M117&lt;Methodology!$B$4,"Overdue","Current")))</f>
        <v/>
      </c>
      <c r="P117" s="24"/>
    </row>
    <row r="118" spans="1:16" x14ac:dyDescent="0.35">
      <c r="A118" s="35"/>
      <c r="B118" s="35"/>
      <c r="C118" s="44" t="str">
        <f>IF(B118="","",IFERROR(INDEX('Risk Register'!$B$6:$B$105,MATCH(B118,'Risk Register'!$A$6:$A$105,0)),"Unknown Risk ID"))</f>
        <v/>
      </c>
      <c r="D118" s="37" t="str">
        <f>IF(B118="","",IFERROR(INDEX('Risk Register'!$O$6:$O$105,MATCH(B118,'Risk Register'!$A$6:$A$105,0)),""))</f>
        <v/>
      </c>
      <c r="E118" s="35"/>
      <c r="F118" s="24"/>
      <c r="G118" s="35"/>
      <c r="H118" s="35"/>
      <c r="I118" s="35"/>
      <c r="J118" s="35"/>
      <c r="K118" s="46"/>
      <c r="L118" s="36"/>
      <c r="M118" s="45" t="str">
        <f t="shared" si="6"/>
        <v/>
      </c>
      <c r="N118" s="37" t="str">
        <f t="shared" si="7"/>
        <v/>
      </c>
      <c r="O118" s="37" t="str">
        <f>IF(A118="","",IF(M118="","No test date",IF(M118&lt;Methodology!$B$4,"Overdue","Current")))</f>
        <v/>
      </c>
      <c r="P118" s="24"/>
    </row>
    <row r="119" spans="1:16" x14ac:dyDescent="0.35">
      <c r="A119" s="35"/>
      <c r="B119" s="35"/>
      <c r="C119" s="44" t="str">
        <f>IF(B119="","",IFERROR(INDEX('Risk Register'!$B$6:$B$105,MATCH(B119,'Risk Register'!$A$6:$A$105,0)),"Unknown Risk ID"))</f>
        <v/>
      </c>
      <c r="D119" s="37" t="str">
        <f>IF(B119="","",IFERROR(INDEX('Risk Register'!$O$6:$O$105,MATCH(B119,'Risk Register'!$A$6:$A$105,0)),""))</f>
        <v/>
      </c>
      <c r="E119" s="35"/>
      <c r="F119" s="24"/>
      <c r="G119" s="35"/>
      <c r="H119" s="35"/>
      <c r="I119" s="35"/>
      <c r="J119" s="35"/>
      <c r="K119" s="46"/>
      <c r="L119" s="36"/>
      <c r="M119" s="45" t="str">
        <f t="shared" si="6"/>
        <v/>
      </c>
      <c r="N119" s="37" t="str">
        <f t="shared" si="7"/>
        <v/>
      </c>
      <c r="O119" s="37" t="str">
        <f>IF(A119="","",IF(M119="","No test date",IF(M119&lt;Methodology!$B$4,"Overdue","Current")))</f>
        <v/>
      </c>
      <c r="P119" s="24"/>
    </row>
    <row r="120" spans="1:16" x14ac:dyDescent="0.35">
      <c r="A120" s="35"/>
      <c r="B120" s="35"/>
      <c r="C120" s="44" t="str">
        <f>IF(B120="","",IFERROR(INDEX('Risk Register'!$B$6:$B$105,MATCH(B120,'Risk Register'!$A$6:$A$105,0)),"Unknown Risk ID"))</f>
        <v/>
      </c>
      <c r="D120" s="37" t="str">
        <f>IF(B120="","",IFERROR(INDEX('Risk Register'!$O$6:$O$105,MATCH(B120,'Risk Register'!$A$6:$A$105,0)),""))</f>
        <v/>
      </c>
      <c r="E120" s="35"/>
      <c r="F120" s="24"/>
      <c r="G120" s="35"/>
      <c r="H120" s="35"/>
      <c r="I120" s="35"/>
      <c r="J120" s="35"/>
      <c r="K120" s="46"/>
      <c r="L120" s="36"/>
      <c r="M120" s="45" t="str">
        <f t="shared" si="6"/>
        <v/>
      </c>
      <c r="N120" s="37" t="str">
        <f t="shared" si="7"/>
        <v/>
      </c>
      <c r="O120" s="37" t="str">
        <f>IF(A120="","",IF(M120="","No test date",IF(M120&lt;Methodology!$B$4,"Overdue","Current")))</f>
        <v/>
      </c>
      <c r="P120" s="24"/>
    </row>
    <row r="121" spans="1:16" x14ac:dyDescent="0.35">
      <c r="A121" s="35"/>
      <c r="B121" s="35"/>
      <c r="C121" s="44" t="str">
        <f>IF(B121="","",IFERROR(INDEX('Risk Register'!$B$6:$B$105,MATCH(B121,'Risk Register'!$A$6:$A$105,0)),"Unknown Risk ID"))</f>
        <v/>
      </c>
      <c r="D121" s="37" t="str">
        <f>IF(B121="","",IFERROR(INDEX('Risk Register'!$O$6:$O$105,MATCH(B121,'Risk Register'!$A$6:$A$105,0)),""))</f>
        <v/>
      </c>
      <c r="E121" s="35"/>
      <c r="F121" s="24"/>
      <c r="G121" s="35"/>
      <c r="H121" s="35"/>
      <c r="I121" s="35"/>
      <c r="J121" s="35"/>
      <c r="K121" s="46"/>
      <c r="L121" s="36"/>
      <c r="M121" s="45" t="str">
        <f t="shared" si="6"/>
        <v/>
      </c>
      <c r="N121" s="37" t="str">
        <f t="shared" si="7"/>
        <v/>
      </c>
      <c r="O121" s="37" t="str">
        <f>IF(A121="","",IF(M121="","No test date",IF(M121&lt;Methodology!$B$4,"Overdue","Current")))</f>
        <v/>
      </c>
      <c r="P121" s="24"/>
    </row>
    <row r="122" spans="1:16" x14ac:dyDescent="0.35">
      <c r="A122" s="35"/>
      <c r="B122" s="35"/>
      <c r="C122" s="44" t="str">
        <f>IF(B122="","",IFERROR(INDEX('Risk Register'!$B$6:$B$105,MATCH(B122,'Risk Register'!$A$6:$A$105,0)),"Unknown Risk ID"))</f>
        <v/>
      </c>
      <c r="D122" s="37" t="str">
        <f>IF(B122="","",IFERROR(INDEX('Risk Register'!$O$6:$O$105,MATCH(B122,'Risk Register'!$A$6:$A$105,0)),""))</f>
        <v/>
      </c>
      <c r="E122" s="35"/>
      <c r="F122" s="24"/>
      <c r="G122" s="35"/>
      <c r="H122" s="35"/>
      <c r="I122" s="35"/>
      <c r="J122" s="35"/>
      <c r="K122" s="46"/>
      <c r="L122" s="36"/>
      <c r="M122" s="45" t="str">
        <f t="shared" si="6"/>
        <v/>
      </c>
      <c r="N122" s="37" t="str">
        <f t="shared" si="7"/>
        <v/>
      </c>
      <c r="O122" s="37" t="str">
        <f>IF(A122="","",IF(M122="","No test date",IF(M122&lt;Methodology!$B$4,"Overdue","Current")))</f>
        <v/>
      </c>
      <c r="P122" s="24"/>
    </row>
    <row r="123" spans="1:16" x14ac:dyDescent="0.35">
      <c r="A123" s="35"/>
      <c r="B123" s="35"/>
      <c r="C123" s="44" t="str">
        <f>IF(B123="","",IFERROR(INDEX('Risk Register'!$B$6:$B$105,MATCH(B123,'Risk Register'!$A$6:$A$105,0)),"Unknown Risk ID"))</f>
        <v/>
      </c>
      <c r="D123" s="37" t="str">
        <f>IF(B123="","",IFERROR(INDEX('Risk Register'!$O$6:$O$105,MATCH(B123,'Risk Register'!$A$6:$A$105,0)),""))</f>
        <v/>
      </c>
      <c r="E123" s="35"/>
      <c r="F123" s="24"/>
      <c r="G123" s="35"/>
      <c r="H123" s="35"/>
      <c r="I123" s="35"/>
      <c r="J123" s="35"/>
      <c r="K123" s="46"/>
      <c r="L123" s="36"/>
      <c r="M123" s="45" t="str">
        <f t="shared" si="6"/>
        <v/>
      </c>
      <c r="N123" s="37" t="str">
        <f t="shared" si="7"/>
        <v/>
      </c>
      <c r="O123" s="37" t="str">
        <f>IF(A123="","",IF(M123="","No test date",IF(M123&lt;Methodology!$B$4,"Overdue","Current")))</f>
        <v/>
      </c>
      <c r="P123" s="24"/>
    </row>
    <row r="124" spans="1:16" x14ac:dyDescent="0.35">
      <c r="A124" s="35"/>
      <c r="B124" s="35"/>
      <c r="C124" s="44" t="str">
        <f>IF(B124="","",IFERROR(INDEX('Risk Register'!$B$6:$B$105,MATCH(B124,'Risk Register'!$A$6:$A$105,0)),"Unknown Risk ID"))</f>
        <v/>
      </c>
      <c r="D124" s="37" t="str">
        <f>IF(B124="","",IFERROR(INDEX('Risk Register'!$O$6:$O$105,MATCH(B124,'Risk Register'!$A$6:$A$105,0)),""))</f>
        <v/>
      </c>
      <c r="E124" s="35"/>
      <c r="F124" s="24"/>
      <c r="G124" s="35"/>
      <c r="H124" s="35"/>
      <c r="I124" s="35"/>
      <c r="J124" s="35"/>
      <c r="K124" s="46"/>
      <c r="L124" s="36"/>
      <c r="M124" s="45" t="str">
        <f t="shared" si="6"/>
        <v/>
      </c>
      <c r="N124" s="37" t="str">
        <f t="shared" si="7"/>
        <v/>
      </c>
      <c r="O124" s="37" t="str">
        <f>IF(A124="","",IF(M124="","No test date",IF(M124&lt;Methodology!$B$4,"Overdue","Current")))</f>
        <v/>
      </c>
      <c r="P124" s="24"/>
    </row>
    <row r="125" spans="1:16" x14ac:dyDescent="0.35">
      <c r="A125" s="35"/>
      <c r="B125" s="35"/>
      <c r="C125" s="44" t="str">
        <f>IF(B125="","",IFERROR(INDEX('Risk Register'!$B$6:$B$105,MATCH(B125,'Risk Register'!$A$6:$A$105,0)),"Unknown Risk ID"))</f>
        <v/>
      </c>
      <c r="D125" s="37" t="str">
        <f>IF(B125="","",IFERROR(INDEX('Risk Register'!$O$6:$O$105,MATCH(B125,'Risk Register'!$A$6:$A$105,0)),""))</f>
        <v/>
      </c>
      <c r="E125" s="35"/>
      <c r="F125" s="24"/>
      <c r="G125" s="35"/>
      <c r="H125" s="35"/>
      <c r="I125" s="35"/>
      <c r="J125" s="35"/>
      <c r="K125" s="46"/>
      <c r="L125" s="36"/>
      <c r="M125" s="45" t="str">
        <f t="shared" si="6"/>
        <v/>
      </c>
      <c r="N125" s="37" t="str">
        <f t="shared" si="7"/>
        <v/>
      </c>
      <c r="O125" s="37" t="str">
        <f>IF(A125="","",IF(M125="","No test date",IF(M125&lt;Methodology!$B$4,"Overdue","Current")))</f>
        <v/>
      </c>
      <c r="P125" s="24"/>
    </row>
    <row r="126" spans="1:16" x14ac:dyDescent="0.35">
      <c r="A126" s="35"/>
      <c r="B126" s="35"/>
      <c r="C126" s="44" t="str">
        <f>IF(B126="","",IFERROR(INDEX('Risk Register'!$B$6:$B$105,MATCH(B126,'Risk Register'!$A$6:$A$105,0)),"Unknown Risk ID"))</f>
        <v/>
      </c>
      <c r="D126" s="37" t="str">
        <f>IF(B126="","",IFERROR(INDEX('Risk Register'!$O$6:$O$105,MATCH(B126,'Risk Register'!$A$6:$A$105,0)),""))</f>
        <v/>
      </c>
      <c r="E126" s="35"/>
      <c r="F126" s="24"/>
      <c r="G126" s="35"/>
      <c r="H126" s="35"/>
      <c r="I126" s="35"/>
      <c r="J126" s="35"/>
      <c r="K126" s="46"/>
      <c r="L126" s="36"/>
      <c r="M126" s="45" t="str">
        <f t="shared" si="6"/>
        <v/>
      </c>
      <c r="N126" s="37" t="str">
        <f t="shared" si="7"/>
        <v/>
      </c>
      <c r="O126" s="37" t="str">
        <f>IF(A126="","",IF(M126="","No test date",IF(M126&lt;Methodology!$B$4,"Overdue","Current")))</f>
        <v/>
      </c>
      <c r="P126" s="24"/>
    </row>
    <row r="127" spans="1:16" x14ac:dyDescent="0.35">
      <c r="A127" s="35"/>
      <c r="B127" s="35"/>
      <c r="C127" s="44" t="str">
        <f>IF(B127="","",IFERROR(INDEX('Risk Register'!$B$6:$B$105,MATCH(B127,'Risk Register'!$A$6:$A$105,0)),"Unknown Risk ID"))</f>
        <v/>
      </c>
      <c r="D127" s="37" t="str">
        <f>IF(B127="","",IFERROR(INDEX('Risk Register'!$O$6:$O$105,MATCH(B127,'Risk Register'!$A$6:$A$105,0)),""))</f>
        <v/>
      </c>
      <c r="E127" s="35"/>
      <c r="F127" s="24"/>
      <c r="G127" s="35"/>
      <c r="H127" s="35"/>
      <c r="I127" s="35"/>
      <c r="J127" s="35"/>
      <c r="K127" s="46"/>
      <c r="L127" s="36"/>
      <c r="M127" s="45" t="str">
        <f t="shared" si="6"/>
        <v/>
      </c>
      <c r="N127" s="37" t="str">
        <f t="shared" si="7"/>
        <v/>
      </c>
      <c r="O127" s="37" t="str">
        <f>IF(A127="","",IF(M127="","No test date",IF(M127&lt;Methodology!$B$4,"Overdue","Current")))</f>
        <v/>
      </c>
      <c r="P127" s="24"/>
    </row>
    <row r="128" spans="1:16" x14ac:dyDescent="0.35">
      <c r="A128" s="35"/>
      <c r="B128" s="35"/>
      <c r="C128" s="44" t="str">
        <f>IF(B128="","",IFERROR(INDEX('Risk Register'!$B$6:$B$105,MATCH(B128,'Risk Register'!$A$6:$A$105,0)),"Unknown Risk ID"))</f>
        <v/>
      </c>
      <c r="D128" s="37" t="str">
        <f>IF(B128="","",IFERROR(INDEX('Risk Register'!$O$6:$O$105,MATCH(B128,'Risk Register'!$A$6:$A$105,0)),""))</f>
        <v/>
      </c>
      <c r="E128" s="35"/>
      <c r="F128" s="24"/>
      <c r="G128" s="35"/>
      <c r="H128" s="35"/>
      <c r="I128" s="35"/>
      <c r="J128" s="35"/>
      <c r="K128" s="46"/>
      <c r="L128" s="36"/>
      <c r="M128" s="45" t="str">
        <f t="shared" si="6"/>
        <v/>
      </c>
      <c r="N128" s="37" t="str">
        <f t="shared" si="7"/>
        <v/>
      </c>
      <c r="O128" s="37" t="str">
        <f>IF(A128="","",IF(M128="","No test date",IF(M128&lt;Methodology!$B$4,"Overdue","Current")))</f>
        <v/>
      </c>
      <c r="P128" s="24"/>
    </row>
    <row r="129" spans="1:16" x14ac:dyDescent="0.35">
      <c r="A129" s="35"/>
      <c r="B129" s="35"/>
      <c r="C129" s="44" t="str">
        <f>IF(B129="","",IFERROR(INDEX('Risk Register'!$B$6:$B$105,MATCH(B129,'Risk Register'!$A$6:$A$105,0)),"Unknown Risk ID"))</f>
        <v/>
      </c>
      <c r="D129" s="37" t="str">
        <f>IF(B129="","",IFERROR(INDEX('Risk Register'!$O$6:$O$105,MATCH(B129,'Risk Register'!$A$6:$A$105,0)),""))</f>
        <v/>
      </c>
      <c r="E129" s="35"/>
      <c r="F129" s="24"/>
      <c r="G129" s="35"/>
      <c r="H129" s="35"/>
      <c r="I129" s="35"/>
      <c r="J129" s="35"/>
      <c r="K129" s="46"/>
      <c r="L129" s="36"/>
      <c r="M129" s="45" t="str">
        <f t="shared" si="6"/>
        <v/>
      </c>
      <c r="N129" s="37" t="str">
        <f t="shared" si="7"/>
        <v/>
      </c>
      <c r="O129" s="37" t="str">
        <f>IF(A129="","",IF(M129="","No test date",IF(M129&lt;Methodology!$B$4,"Overdue","Current")))</f>
        <v/>
      </c>
      <c r="P129" s="24"/>
    </row>
    <row r="130" spans="1:16" x14ac:dyDescent="0.35">
      <c r="A130" s="35"/>
      <c r="B130" s="35"/>
      <c r="C130" s="44" t="str">
        <f>IF(B130="","",IFERROR(INDEX('Risk Register'!$B$6:$B$105,MATCH(B130,'Risk Register'!$A$6:$A$105,0)),"Unknown Risk ID"))</f>
        <v/>
      </c>
      <c r="D130" s="37" t="str">
        <f>IF(B130="","",IFERROR(INDEX('Risk Register'!$O$6:$O$105,MATCH(B130,'Risk Register'!$A$6:$A$105,0)),""))</f>
        <v/>
      </c>
      <c r="E130" s="35"/>
      <c r="F130" s="24"/>
      <c r="G130" s="35"/>
      <c r="H130" s="35"/>
      <c r="I130" s="35"/>
      <c r="J130" s="35"/>
      <c r="K130" s="46"/>
      <c r="L130" s="36"/>
      <c r="M130" s="45" t="str">
        <f t="shared" si="6"/>
        <v/>
      </c>
      <c r="N130" s="37" t="str">
        <f t="shared" si="7"/>
        <v/>
      </c>
      <c r="O130" s="37" t="str">
        <f>IF(A130="","",IF(M130="","No test date",IF(M130&lt;Methodology!$B$4,"Overdue","Current")))</f>
        <v/>
      </c>
      <c r="P130" s="24"/>
    </row>
    <row r="131" spans="1:16" x14ac:dyDescent="0.35">
      <c r="A131" s="35"/>
      <c r="B131" s="35"/>
      <c r="C131" s="44" t="str">
        <f>IF(B131="","",IFERROR(INDEX('Risk Register'!$B$6:$B$105,MATCH(B131,'Risk Register'!$A$6:$A$105,0)),"Unknown Risk ID"))</f>
        <v/>
      </c>
      <c r="D131" s="37" t="str">
        <f>IF(B131="","",IFERROR(INDEX('Risk Register'!$O$6:$O$105,MATCH(B131,'Risk Register'!$A$6:$A$105,0)),""))</f>
        <v/>
      </c>
      <c r="E131" s="35"/>
      <c r="F131" s="24"/>
      <c r="G131" s="35"/>
      <c r="H131" s="35"/>
      <c r="I131" s="35"/>
      <c r="J131" s="35"/>
      <c r="K131" s="46"/>
      <c r="L131" s="36"/>
      <c r="M131" s="45" t="str">
        <f t="shared" si="6"/>
        <v/>
      </c>
      <c r="N131" s="37" t="str">
        <f t="shared" si="7"/>
        <v/>
      </c>
      <c r="O131" s="37" t="str">
        <f>IF(A131="","",IF(M131="","No test date",IF(M131&lt;Methodology!$B$4,"Overdue","Current")))</f>
        <v/>
      </c>
      <c r="P131" s="24"/>
    </row>
    <row r="132" spans="1:16" x14ac:dyDescent="0.35">
      <c r="A132" s="35"/>
      <c r="B132" s="35"/>
      <c r="C132" s="44" t="str">
        <f>IF(B132="","",IFERROR(INDEX('Risk Register'!$B$6:$B$105,MATCH(B132,'Risk Register'!$A$6:$A$105,0)),"Unknown Risk ID"))</f>
        <v/>
      </c>
      <c r="D132" s="37" t="str">
        <f>IF(B132="","",IFERROR(INDEX('Risk Register'!$O$6:$O$105,MATCH(B132,'Risk Register'!$A$6:$A$105,0)),""))</f>
        <v/>
      </c>
      <c r="E132" s="35"/>
      <c r="F132" s="24"/>
      <c r="G132" s="35"/>
      <c r="H132" s="35"/>
      <c r="I132" s="35"/>
      <c r="J132" s="35"/>
      <c r="K132" s="46"/>
      <c r="L132" s="36"/>
      <c r="M132" s="45" t="str">
        <f t="shared" si="6"/>
        <v/>
      </c>
      <c r="N132" s="37" t="str">
        <f t="shared" si="7"/>
        <v/>
      </c>
      <c r="O132" s="37" t="str">
        <f>IF(A132="","",IF(M132="","No test date",IF(M132&lt;Methodology!$B$4,"Overdue","Current")))</f>
        <v/>
      </c>
      <c r="P132" s="24"/>
    </row>
    <row r="133" spans="1:16" x14ac:dyDescent="0.35">
      <c r="A133" s="35"/>
      <c r="B133" s="35"/>
      <c r="C133" s="44" t="str">
        <f>IF(B133="","",IFERROR(INDEX('Risk Register'!$B$6:$B$105,MATCH(B133,'Risk Register'!$A$6:$A$105,0)),"Unknown Risk ID"))</f>
        <v/>
      </c>
      <c r="D133" s="37" t="str">
        <f>IF(B133="","",IFERROR(INDEX('Risk Register'!$O$6:$O$105,MATCH(B133,'Risk Register'!$A$6:$A$105,0)),""))</f>
        <v/>
      </c>
      <c r="E133" s="35"/>
      <c r="F133" s="24"/>
      <c r="G133" s="35"/>
      <c r="H133" s="35"/>
      <c r="I133" s="35"/>
      <c r="J133" s="35"/>
      <c r="K133" s="46"/>
      <c r="L133" s="36"/>
      <c r="M133" s="45" t="str">
        <f t="shared" si="6"/>
        <v/>
      </c>
      <c r="N133" s="37" t="str">
        <f t="shared" si="7"/>
        <v/>
      </c>
      <c r="O133" s="37" t="str">
        <f>IF(A133="","",IF(M133="","No test date",IF(M133&lt;Methodology!$B$4,"Overdue","Current")))</f>
        <v/>
      </c>
      <c r="P133" s="24"/>
    </row>
    <row r="134" spans="1:16" x14ac:dyDescent="0.35">
      <c r="A134" s="35"/>
      <c r="B134" s="35"/>
      <c r="C134" s="44" t="str">
        <f>IF(B134="","",IFERROR(INDEX('Risk Register'!$B$6:$B$105,MATCH(B134,'Risk Register'!$A$6:$A$105,0)),"Unknown Risk ID"))</f>
        <v/>
      </c>
      <c r="D134" s="37" t="str">
        <f>IF(B134="","",IFERROR(INDEX('Risk Register'!$O$6:$O$105,MATCH(B134,'Risk Register'!$A$6:$A$105,0)),""))</f>
        <v/>
      </c>
      <c r="E134" s="35"/>
      <c r="F134" s="24"/>
      <c r="G134" s="35"/>
      <c r="H134" s="35"/>
      <c r="I134" s="35"/>
      <c r="J134" s="35"/>
      <c r="K134" s="46"/>
      <c r="L134" s="36"/>
      <c r="M134" s="45" t="str">
        <f t="shared" ref="M134:M155" si="8">IF(OR(K134="",L134=""),"",K134+L134)</f>
        <v/>
      </c>
      <c r="N134" s="37" t="str">
        <f t="shared" ref="N134:N155" si="9">IF(OR(A134="",I134="",J134=""),"",IF(OR(I134="Ineffective",J134="Ineffective"),"Ineffective",IF(J134="Not tested","Not tested",IF(OR(I134="Partially effective",J134="Partially effective"),"Partially effective","Effective"))))</f>
        <v/>
      </c>
      <c r="O134" s="37" t="str">
        <f>IF(A134="","",IF(M134="","No test date",IF(M134&lt;Methodology!$B$4,"Overdue","Current")))</f>
        <v/>
      </c>
      <c r="P134" s="24"/>
    </row>
    <row r="135" spans="1:16" x14ac:dyDescent="0.35">
      <c r="A135" s="35"/>
      <c r="B135" s="35"/>
      <c r="C135" s="44" t="str">
        <f>IF(B135="","",IFERROR(INDEX('Risk Register'!$B$6:$B$105,MATCH(B135,'Risk Register'!$A$6:$A$105,0)),"Unknown Risk ID"))</f>
        <v/>
      </c>
      <c r="D135" s="37" t="str">
        <f>IF(B135="","",IFERROR(INDEX('Risk Register'!$O$6:$O$105,MATCH(B135,'Risk Register'!$A$6:$A$105,0)),""))</f>
        <v/>
      </c>
      <c r="E135" s="35"/>
      <c r="F135" s="24"/>
      <c r="G135" s="35"/>
      <c r="H135" s="35"/>
      <c r="I135" s="35"/>
      <c r="J135" s="35"/>
      <c r="K135" s="46"/>
      <c r="L135" s="36"/>
      <c r="M135" s="45" t="str">
        <f t="shared" si="8"/>
        <v/>
      </c>
      <c r="N135" s="37" t="str">
        <f t="shared" si="9"/>
        <v/>
      </c>
      <c r="O135" s="37" t="str">
        <f>IF(A135="","",IF(M135="","No test date",IF(M135&lt;Methodology!$B$4,"Overdue","Current")))</f>
        <v/>
      </c>
      <c r="P135" s="24"/>
    </row>
    <row r="136" spans="1:16" x14ac:dyDescent="0.35">
      <c r="A136" s="35"/>
      <c r="B136" s="35"/>
      <c r="C136" s="44" t="str">
        <f>IF(B136="","",IFERROR(INDEX('Risk Register'!$B$6:$B$105,MATCH(B136,'Risk Register'!$A$6:$A$105,0)),"Unknown Risk ID"))</f>
        <v/>
      </c>
      <c r="D136" s="37" t="str">
        <f>IF(B136="","",IFERROR(INDEX('Risk Register'!$O$6:$O$105,MATCH(B136,'Risk Register'!$A$6:$A$105,0)),""))</f>
        <v/>
      </c>
      <c r="E136" s="35"/>
      <c r="F136" s="24"/>
      <c r="G136" s="35"/>
      <c r="H136" s="35"/>
      <c r="I136" s="35"/>
      <c r="J136" s="35"/>
      <c r="K136" s="46"/>
      <c r="L136" s="36"/>
      <c r="M136" s="45" t="str">
        <f t="shared" si="8"/>
        <v/>
      </c>
      <c r="N136" s="37" t="str">
        <f t="shared" si="9"/>
        <v/>
      </c>
      <c r="O136" s="37" t="str">
        <f>IF(A136="","",IF(M136="","No test date",IF(M136&lt;Methodology!$B$4,"Overdue","Current")))</f>
        <v/>
      </c>
      <c r="P136" s="24"/>
    </row>
    <row r="137" spans="1:16" x14ac:dyDescent="0.35">
      <c r="A137" s="35"/>
      <c r="B137" s="35"/>
      <c r="C137" s="44" t="str">
        <f>IF(B137="","",IFERROR(INDEX('Risk Register'!$B$6:$B$105,MATCH(B137,'Risk Register'!$A$6:$A$105,0)),"Unknown Risk ID"))</f>
        <v/>
      </c>
      <c r="D137" s="37" t="str">
        <f>IF(B137="","",IFERROR(INDEX('Risk Register'!$O$6:$O$105,MATCH(B137,'Risk Register'!$A$6:$A$105,0)),""))</f>
        <v/>
      </c>
      <c r="E137" s="35"/>
      <c r="F137" s="24"/>
      <c r="G137" s="35"/>
      <c r="H137" s="35"/>
      <c r="I137" s="35"/>
      <c r="J137" s="35"/>
      <c r="K137" s="46"/>
      <c r="L137" s="36"/>
      <c r="M137" s="45" t="str">
        <f t="shared" si="8"/>
        <v/>
      </c>
      <c r="N137" s="37" t="str">
        <f t="shared" si="9"/>
        <v/>
      </c>
      <c r="O137" s="37" t="str">
        <f>IF(A137="","",IF(M137="","No test date",IF(M137&lt;Methodology!$B$4,"Overdue","Current")))</f>
        <v/>
      </c>
      <c r="P137" s="24"/>
    </row>
    <row r="138" spans="1:16" x14ac:dyDescent="0.35">
      <c r="A138" s="35"/>
      <c r="B138" s="35"/>
      <c r="C138" s="44" t="str">
        <f>IF(B138="","",IFERROR(INDEX('Risk Register'!$B$6:$B$105,MATCH(B138,'Risk Register'!$A$6:$A$105,0)),"Unknown Risk ID"))</f>
        <v/>
      </c>
      <c r="D138" s="37" t="str">
        <f>IF(B138="","",IFERROR(INDEX('Risk Register'!$O$6:$O$105,MATCH(B138,'Risk Register'!$A$6:$A$105,0)),""))</f>
        <v/>
      </c>
      <c r="E138" s="35"/>
      <c r="F138" s="24"/>
      <c r="G138" s="35"/>
      <c r="H138" s="35"/>
      <c r="I138" s="35"/>
      <c r="J138" s="35"/>
      <c r="K138" s="46"/>
      <c r="L138" s="36"/>
      <c r="M138" s="45" t="str">
        <f t="shared" si="8"/>
        <v/>
      </c>
      <c r="N138" s="37" t="str">
        <f t="shared" si="9"/>
        <v/>
      </c>
      <c r="O138" s="37" t="str">
        <f>IF(A138="","",IF(M138="","No test date",IF(M138&lt;Methodology!$B$4,"Overdue","Current")))</f>
        <v/>
      </c>
      <c r="P138" s="24"/>
    </row>
    <row r="139" spans="1:16" x14ac:dyDescent="0.35">
      <c r="A139" s="35"/>
      <c r="B139" s="35"/>
      <c r="C139" s="44" t="str">
        <f>IF(B139="","",IFERROR(INDEX('Risk Register'!$B$6:$B$105,MATCH(B139,'Risk Register'!$A$6:$A$105,0)),"Unknown Risk ID"))</f>
        <v/>
      </c>
      <c r="D139" s="37" t="str">
        <f>IF(B139="","",IFERROR(INDEX('Risk Register'!$O$6:$O$105,MATCH(B139,'Risk Register'!$A$6:$A$105,0)),""))</f>
        <v/>
      </c>
      <c r="E139" s="35"/>
      <c r="F139" s="24"/>
      <c r="G139" s="35"/>
      <c r="H139" s="35"/>
      <c r="I139" s="35"/>
      <c r="J139" s="35"/>
      <c r="K139" s="46"/>
      <c r="L139" s="36"/>
      <c r="M139" s="45" t="str">
        <f t="shared" si="8"/>
        <v/>
      </c>
      <c r="N139" s="37" t="str">
        <f t="shared" si="9"/>
        <v/>
      </c>
      <c r="O139" s="37" t="str">
        <f>IF(A139="","",IF(M139="","No test date",IF(M139&lt;Methodology!$B$4,"Overdue","Current")))</f>
        <v/>
      </c>
      <c r="P139" s="24"/>
    </row>
    <row r="140" spans="1:16" x14ac:dyDescent="0.35">
      <c r="A140" s="35"/>
      <c r="B140" s="35"/>
      <c r="C140" s="44" t="str">
        <f>IF(B140="","",IFERROR(INDEX('Risk Register'!$B$6:$B$105,MATCH(B140,'Risk Register'!$A$6:$A$105,0)),"Unknown Risk ID"))</f>
        <v/>
      </c>
      <c r="D140" s="37" t="str">
        <f>IF(B140="","",IFERROR(INDEX('Risk Register'!$O$6:$O$105,MATCH(B140,'Risk Register'!$A$6:$A$105,0)),""))</f>
        <v/>
      </c>
      <c r="E140" s="35"/>
      <c r="F140" s="24"/>
      <c r="G140" s="35"/>
      <c r="H140" s="35"/>
      <c r="I140" s="35"/>
      <c r="J140" s="35"/>
      <c r="K140" s="46"/>
      <c r="L140" s="36"/>
      <c r="M140" s="45" t="str">
        <f t="shared" si="8"/>
        <v/>
      </c>
      <c r="N140" s="37" t="str">
        <f t="shared" si="9"/>
        <v/>
      </c>
      <c r="O140" s="37" t="str">
        <f>IF(A140="","",IF(M140="","No test date",IF(M140&lt;Methodology!$B$4,"Overdue","Current")))</f>
        <v/>
      </c>
      <c r="P140" s="24"/>
    </row>
    <row r="141" spans="1:16" x14ac:dyDescent="0.35">
      <c r="A141" s="35"/>
      <c r="B141" s="35"/>
      <c r="C141" s="44" t="str">
        <f>IF(B141="","",IFERROR(INDEX('Risk Register'!$B$6:$B$105,MATCH(B141,'Risk Register'!$A$6:$A$105,0)),"Unknown Risk ID"))</f>
        <v/>
      </c>
      <c r="D141" s="37" t="str">
        <f>IF(B141="","",IFERROR(INDEX('Risk Register'!$O$6:$O$105,MATCH(B141,'Risk Register'!$A$6:$A$105,0)),""))</f>
        <v/>
      </c>
      <c r="E141" s="35"/>
      <c r="F141" s="24"/>
      <c r="G141" s="35"/>
      <c r="H141" s="35"/>
      <c r="I141" s="35"/>
      <c r="J141" s="35"/>
      <c r="K141" s="46"/>
      <c r="L141" s="36"/>
      <c r="M141" s="45" t="str">
        <f t="shared" si="8"/>
        <v/>
      </c>
      <c r="N141" s="37" t="str">
        <f t="shared" si="9"/>
        <v/>
      </c>
      <c r="O141" s="37" t="str">
        <f>IF(A141="","",IF(M141="","No test date",IF(M141&lt;Methodology!$B$4,"Overdue","Current")))</f>
        <v/>
      </c>
      <c r="P141" s="24"/>
    </row>
    <row r="142" spans="1:16" x14ac:dyDescent="0.35">
      <c r="A142" s="35"/>
      <c r="B142" s="35"/>
      <c r="C142" s="44" t="str">
        <f>IF(B142="","",IFERROR(INDEX('Risk Register'!$B$6:$B$105,MATCH(B142,'Risk Register'!$A$6:$A$105,0)),"Unknown Risk ID"))</f>
        <v/>
      </c>
      <c r="D142" s="37" t="str">
        <f>IF(B142="","",IFERROR(INDEX('Risk Register'!$O$6:$O$105,MATCH(B142,'Risk Register'!$A$6:$A$105,0)),""))</f>
        <v/>
      </c>
      <c r="E142" s="35"/>
      <c r="F142" s="24"/>
      <c r="G142" s="35"/>
      <c r="H142" s="35"/>
      <c r="I142" s="35"/>
      <c r="J142" s="35"/>
      <c r="K142" s="46"/>
      <c r="L142" s="36"/>
      <c r="M142" s="45" t="str">
        <f t="shared" si="8"/>
        <v/>
      </c>
      <c r="N142" s="37" t="str">
        <f t="shared" si="9"/>
        <v/>
      </c>
      <c r="O142" s="37" t="str">
        <f>IF(A142="","",IF(M142="","No test date",IF(M142&lt;Methodology!$B$4,"Overdue","Current")))</f>
        <v/>
      </c>
      <c r="P142" s="24"/>
    </row>
    <row r="143" spans="1:16" x14ac:dyDescent="0.35">
      <c r="A143" s="35"/>
      <c r="B143" s="35"/>
      <c r="C143" s="44" t="str">
        <f>IF(B143="","",IFERROR(INDEX('Risk Register'!$B$6:$B$105,MATCH(B143,'Risk Register'!$A$6:$A$105,0)),"Unknown Risk ID"))</f>
        <v/>
      </c>
      <c r="D143" s="37" t="str">
        <f>IF(B143="","",IFERROR(INDEX('Risk Register'!$O$6:$O$105,MATCH(B143,'Risk Register'!$A$6:$A$105,0)),""))</f>
        <v/>
      </c>
      <c r="E143" s="35"/>
      <c r="F143" s="24"/>
      <c r="G143" s="35"/>
      <c r="H143" s="35"/>
      <c r="I143" s="35"/>
      <c r="J143" s="35"/>
      <c r="K143" s="46"/>
      <c r="L143" s="36"/>
      <c r="M143" s="45" t="str">
        <f t="shared" si="8"/>
        <v/>
      </c>
      <c r="N143" s="37" t="str">
        <f t="shared" si="9"/>
        <v/>
      </c>
      <c r="O143" s="37" t="str">
        <f>IF(A143="","",IF(M143="","No test date",IF(M143&lt;Methodology!$B$4,"Overdue","Current")))</f>
        <v/>
      </c>
      <c r="P143" s="24"/>
    </row>
    <row r="144" spans="1:16" x14ac:dyDescent="0.35">
      <c r="A144" s="35"/>
      <c r="B144" s="35"/>
      <c r="C144" s="44" t="str">
        <f>IF(B144="","",IFERROR(INDEX('Risk Register'!$B$6:$B$105,MATCH(B144,'Risk Register'!$A$6:$A$105,0)),"Unknown Risk ID"))</f>
        <v/>
      </c>
      <c r="D144" s="37" t="str">
        <f>IF(B144="","",IFERROR(INDEX('Risk Register'!$O$6:$O$105,MATCH(B144,'Risk Register'!$A$6:$A$105,0)),""))</f>
        <v/>
      </c>
      <c r="E144" s="35"/>
      <c r="F144" s="24"/>
      <c r="G144" s="35"/>
      <c r="H144" s="35"/>
      <c r="I144" s="35"/>
      <c r="J144" s="35"/>
      <c r="K144" s="46"/>
      <c r="L144" s="36"/>
      <c r="M144" s="45" t="str">
        <f t="shared" si="8"/>
        <v/>
      </c>
      <c r="N144" s="37" t="str">
        <f t="shared" si="9"/>
        <v/>
      </c>
      <c r="O144" s="37" t="str">
        <f>IF(A144="","",IF(M144="","No test date",IF(M144&lt;Methodology!$B$4,"Overdue","Current")))</f>
        <v/>
      </c>
      <c r="P144" s="24"/>
    </row>
    <row r="145" spans="1:16" x14ac:dyDescent="0.35">
      <c r="A145" s="35"/>
      <c r="B145" s="35"/>
      <c r="C145" s="44" t="str">
        <f>IF(B145="","",IFERROR(INDEX('Risk Register'!$B$6:$B$105,MATCH(B145,'Risk Register'!$A$6:$A$105,0)),"Unknown Risk ID"))</f>
        <v/>
      </c>
      <c r="D145" s="37" t="str">
        <f>IF(B145="","",IFERROR(INDEX('Risk Register'!$O$6:$O$105,MATCH(B145,'Risk Register'!$A$6:$A$105,0)),""))</f>
        <v/>
      </c>
      <c r="E145" s="35"/>
      <c r="F145" s="24"/>
      <c r="G145" s="35"/>
      <c r="H145" s="35"/>
      <c r="I145" s="35"/>
      <c r="J145" s="35"/>
      <c r="K145" s="46"/>
      <c r="L145" s="36"/>
      <c r="M145" s="45" t="str">
        <f t="shared" si="8"/>
        <v/>
      </c>
      <c r="N145" s="37" t="str">
        <f t="shared" si="9"/>
        <v/>
      </c>
      <c r="O145" s="37" t="str">
        <f>IF(A145="","",IF(M145="","No test date",IF(M145&lt;Methodology!$B$4,"Overdue","Current")))</f>
        <v/>
      </c>
      <c r="P145" s="24"/>
    </row>
    <row r="146" spans="1:16" x14ac:dyDescent="0.35">
      <c r="A146" s="35"/>
      <c r="B146" s="35"/>
      <c r="C146" s="44" t="str">
        <f>IF(B146="","",IFERROR(INDEX('Risk Register'!$B$6:$B$105,MATCH(B146,'Risk Register'!$A$6:$A$105,0)),"Unknown Risk ID"))</f>
        <v/>
      </c>
      <c r="D146" s="37" t="str">
        <f>IF(B146="","",IFERROR(INDEX('Risk Register'!$O$6:$O$105,MATCH(B146,'Risk Register'!$A$6:$A$105,0)),""))</f>
        <v/>
      </c>
      <c r="E146" s="35"/>
      <c r="F146" s="24"/>
      <c r="G146" s="35"/>
      <c r="H146" s="35"/>
      <c r="I146" s="35"/>
      <c r="J146" s="35"/>
      <c r="K146" s="46"/>
      <c r="L146" s="36"/>
      <c r="M146" s="45" t="str">
        <f t="shared" si="8"/>
        <v/>
      </c>
      <c r="N146" s="37" t="str">
        <f t="shared" si="9"/>
        <v/>
      </c>
      <c r="O146" s="37" t="str">
        <f>IF(A146="","",IF(M146="","No test date",IF(M146&lt;Methodology!$B$4,"Overdue","Current")))</f>
        <v/>
      </c>
      <c r="P146" s="24"/>
    </row>
    <row r="147" spans="1:16" x14ac:dyDescent="0.35">
      <c r="A147" s="35"/>
      <c r="B147" s="35"/>
      <c r="C147" s="44" t="str">
        <f>IF(B147="","",IFERROR(INDEX('Risk Register'!$B$6:$B$105,MATCH(B147,'Risk Register'!$A$6:$A$105,0)),"Unknown Risk ID"))</f>
        <v/>
      </c>
      <c r="D147" s="37" t="str">
        <f>IF(B147="","",IFERROR(INDEX('Risk Register'!$O$6:$O$105,MATCH(B147,'Risk Register'!$A$6:$A$105,0)),""))</f>
        <v/>
      </c>
      <c r="E147" s="35"/>
      <c r="F147" s="24"/>
      <c r="G147" s="35"/>
      <c r="H147" s="35"/>
      <c r="I147" s="35"/>
      <c r="J147" s="35"/>
      <c r="K147" s="46"/>
      <c r="L147" s="36"/>
      <c r="M147" s="45" t="str">
        <f t="shared" si="8"/>
        <v/>
      </c>
      <c r="N147" s="37" t="str">
        <f t="shared" si="9"/>
        <v/>
      </c>
      <c r="O147" s="37" t="str">
        <f>IF(A147="","",IF(M147="","No test date",IF(M147&lt;Methodology!$B$4,"Overdue","Current")))</f>
        <v/>
      </c>
      <c r="P147" s="24"/>
    </row>
    <row r="148" spans="1:16" x14ac:dyDescent="0.35">
      <c r="A148" s="35"/>
      <c r="B148" s="35"/>
      <c r="C148" s="44" t="str">
        <f>IF(B148="","",IFERROR(INDEX('Risk Register'!$B$6:$B$105,MATCH(B148,'Risk Register'!$A$6:$A$105,0)),"Unknown Risk ID"))</f>
        <v/>
      </c>
      <c r="D148" s="37" t="str">
        <f>IF(B148="","",IFERROR(INDEX('Risk Register'!$O$6:$O$105,MATCH(B148,'Risk Register'!$A$6:$A$105,0)),""))</f>
        <v/>
      </c>
      <c r="E148" s="35"/>
      <c r="F148" s="24"/>
      <c r="G148" s="35"/>
      <c r="H148" s="35"/>
      <c r="I148" s="35"/>
      <c r="J148" s="35"/>
      <c r="K148" s="46"/>
      <c r="L148" s="36"/>
      <c r="M148" s="45" t="str">
        <f t="shared" si="8"/>
        <v/>
      </c>
      <c r="N148" s="37" t="str">
        <f t="shared" si="9"/>
        <v/>
      </c>
      <c r="O148" s="37" t="str">
        <f>IF(A148="","",IF(M148="","No test date",IF(M148&lt;Methodology!$B$4,"Overdue","Current")))</f>
        <v/>
      </c>
      <c r="P148" s="24"/>
    </row>
    <row r="149" spans="1:16" x14ac:dyDescent="0.35">
      <c r="A149" s="35"/>
      <c r="B149" s="35"/>
      <c r="C149" s="44" t="str">
        <f>IF(B149="","",IFERROR(INDEX('Risk Register'!$B$6:$B$105,MATCH(B149,'Risk Register'!$A$6:$A$105,0)),"Unknown Risk ID"))</f>
        <v/>
      </c>
      <c r="D149" s="37" t="str">
        <f>IF(B149="","",IFERROR(INDEX('Risk Register'!$O$6:$O$105,MATCH(B149,'Risk Register'!$A$6:$A$105,0)),""))</f>
        <v/>
      </c>
      <c r="E149" s="35"/>
      <c r="F149" s="24"/>
      <c r="G149" s="35"/>
      <c r="H149" s="35"/>
      <c r="I149" s="35"/>
      <c r="J149" s="35"/>
      <c r="K149" s="46"/>
      <c r="L149" s="36"/>
      <c r="M149" s="45" t="str">
        <f t="shared" si="8"/>
        <v/>
      </c>
      <c r="N149" s="37" t="str">
        <f t="shared" si="9"/>
        <v/>
      </c>
      <c r="O149" s="37" t="str">
        <f>IF(A149="","",IF(M149="","No test date",IF(M149&lt;Methodology!$B$4,"Overdue","Current")))</f>
        <v/>
      </c>
      <c r="P149" s="24"/>
    </row>
    <row r="150" spans="1:16" x14ac:dyDescent="0.35">
      <c r="A150" s="35"/>
      <c r="B150" s="35"/>
      <c r="C150" s="44" t="str">
        <f>IF(B150="","",IFERROR(INDEX('Risk Register'!$B$6:$B$105,MATCH(B150,'Risk Register'!$A$6:$A$105,0)),"Unknown Risk ID"))</f>
        <v/>
      </c>
      <c r="D150" s="37" t="str">
        <f>IF(B150="","",IFERROR(INDEX('Risk Register'!$O$6:$O$105,MATCH(B150,'Risk Register'!$A$6:$A$105,0)),""))</f>
        <v/>
      </c>
      <c r="E150" s="35"/>
      <c r="F150" s="24"/>
      <c r="G150" s="35"/>
      <c r="H150" s="35"/>
      <c r="I150" s="35"/>
      <c r="J150" s="35"/>
      <c r="K150" s="46"/>
      <c r="L150" s="36"/>
      <c r="M150" s="45" t="str">
        <f t="shared" si="8"/>
        <v/>
      </c>
      <c r="N150" s="37" t="str">
        <f t="shared" si="9"/>
        <v/>
      </c>
      <c r="O150" s="37" t="str">
        <f>IF(A150="","",IF(M150="","No test date",IF(M150&lt;Methodology!$B$4,"Overdue","Current")))</f>
        <v/>
      </c>
      <c r="P150" s="24"/>
    </row>
    <row r="151" spans="1:16" x14ac:dyDescent="0.35">
      <c r="A151" s="35"/>
      <c r="B151" s="35"/>
      <c r="C151" s="44" t="str">
        <f>IF(B151="","",IFERROR(INDEX('Risk Register'!$B$6:$B$105,MATCH(B151,'Risk Register'!$A$6:$A$105,0)),"Unknown Risk ID"))</f>
        <v/>
      </c>
      <c r="D151" s="37" t="str">
        <f>IF(B151="","",IFERROR(INDEX('Risk Register'!$O$6:$O$105,MATCH(B151,'Risk Register'!$A$6:$A$105,0)),""))</f>
        <v/>
      </c>
      <c r="E151" s="35"/>
      <c r="F151" s="24"/>
      <c r="G151" s="35"/>
      <c r="H151" s="35"/>
      <c r="I151" s="35"/>
      <c r="J151" s="35"/>
      <c r="K151" s="46"/>
      <c r="L151" s="36"/>
      <c r="M151" s="45" t="str">
        <f t="shared" si="8"/>
        <v/>
      </c>
      <c r="N151" s="37" t="str">
        <f t="shared" si="9"/>
        <v/>
      </c>
      <c r="O151" s="37" t="str">
        <f>IF(A151="","",IF(M151="","No test date",IF(M151&lt;Methodology!$B$4,"Overdue","Current")))</f>
        <v/>
      </c>
      <c r="P151" s="24"/>
    </row>
    <row r="152" spans="1:16" x14ac:dyDescent="0.35">
      <c r="A152" s="35"/>
      <c r="B152" s="35"/>
      <c r="C152" s="44" t="str">
        <f>IF(B152="","",IFERROR(INDEX('Risk Register'!$B$6:$B$105,MATCH(B152,'Risk Register'!$A$6:$A$105,0)),"Unknown Risk ID"))</f>
        <v/>
      </c>
      <c r="D152" s="37" t="str">
        <f>IF(B152="","",IFERROR(INDEX('Risk Register'!$O$6:$O$105,MATCH(B152,'Risk Register'!$A$6:$A$105,0)),""))</f>
        <v/>
      </c>
      <c r="E152" s="35"/>
      <c r="F152" s="24"/>
      <c r="G152" s="35"/>
      <c r="H152" s="35"/>
      <c r="I152" s="35"/>
      <c r="J152" s="35"/>
      <c r="K152" s="46"/>
      <c r="L152" s="36"/>
      <c r="M152" s="45" t="str">
        <f t="shared" si="8"/>
        <v/>
      </c>
      <c r="N152" s="37" t="str">
        <f t="shared" si="9"/>
        <v/>
      </c>
      <c r="O152" s="37" t="str">
        <f>IF(A152="","",IF(M152="","No test date",IF(M152&lt;Methodology!$B$4,"Overdue","Current")))</f>
        <v/>
      </c>
      <c r="P152" s="24"/>
    </row>
    <row r="153" spans="1:16" x14ac:dyDescent="0.35">
      <c r="A153" s="35"/>
      <c r="B153" s="35"/>
      <c r="C153" s="44" t="str">
        <f>IF(B153="","",IFERROR(INDEX('Risk Register'!$B$6:$B$105,MATCH(B153,'Risk Register'!$A$6:$A$105,0)),"Unknown Risk ID"))</f>
        <v/>
      </c>
      <c r="D153" s="37" t="str">
        <f>IF(B153="","",IFERROR(INDEX('Risk Register'!$O$6:$O$105,MATCH(B153,'Risk Register'!$A$6:$A$105,0)),""))</f>
        <v/>
      </c>
      <c r="E153" s="35"/>
      <c r="F153" s="24"/>
      <c r="G153" s="35"/>
      <c r="H153" s="35"/>
      <c r="I153" s="35"/>
      <c r="J153" s="35"/>
      <c r="K153" s="46"/>
      <c r="L153" s="36"/>
      <c r="M153" s="45" t="str">
        <f t="shared" si="8"/>
        <v/>
      </c>
      <c r="N153" s="37" t="str">
        <f t="shared" si="9"/>
        <v/>
      </c>
      <c r="O153" s="37" t="str">
        <f>IF(A153="","",IF(M153="","No test date",IF(M153&lt;Methodology!$B$4,"Overdue","Current")))</f>
        <v/>
      </c>
      <c r="P153" s="24"/>
    </row>
    <row r="154" spans="1:16" x14ac:dyDescent="0.35">
      <c r="A154" s="35"/>
      <c r="B154" s="35"/>
      <c r="C154" s="44" t="str">
        <f>IF(B154="","",IFERROR(INDEX('Risk Register'!$B$6:$B$105,MATCH(B154,'Risk Register'!$A$6:$A$105,0)),"Unknown Risk ID"))</f>
        <v/>
      </c>
      <c r="D154" s="37" t="str">
        <f>IF(B154="","",IFERROR(INDEX('Risk Register'!$O$6:$O$105,MATCH(B154,'Risk Register'!$A$6:$A$105,0)),""))</f>
        <v/>
      </c>
      <c r="E154" s="35"/>
      <c r="F154" s="24"/>
      <c r="G154" s="35"/>
      <c r="H154" s="35"/>
      <c r="I154" s="35"/>
      <c r="J154" s="35"/>
      <c r="K154" s="46"/>
      <c r="L154" s="36"/>
      <c r="M154" s="45" t="str">
        <f t="shared" si="8"/>
        <v/>
      </c>
      <c r="N154" s="37" t="str">
        <f t="shared" si="9"/>
        <v/>
      </c>
      <c r="O154" s="37" t="str">
        <f>IF(A154="","",IF(M154="","No test date",IF(M154&lt;Methodology!$B$4,"Overdue","Current")))</f>
        <v/>
      </c>
      <c r="P154" s="24"/>
    </row>
    <row r="155" spans="1:16" x14ac:dyDescent="0.35">
      <c r="A155" s="35"/>
      <c r="B155" s="35"/>
      <c r="C155" s="44" t="str">
        <f>IF(B155="","",IFERROR(INDEX('Risk Register'!$B$6:$B$105,MATCH(B155,'Risk Register'!$A$6:$A$105,0)),"Unknown Risk ID"))</f>
        <v/>
      </c>
      <c r="D155" s="37" t="str">
        <f>IF(B155="","",IFERROR(INDEX('Risk Register'!$O$6:$O$105,MATCH(B155,'Risk Register'!$A$6:$A$105,0)),""))</f>
        <v/>
      </c>
      <c r="E155" s="35"/>
      <c r="F155" s="24"/>
      <c r="G155" s="35"/>
      <c r="H155" s="35"/>
      <c r="I155" s="35"/>
      <c r="J155" s="35"/>
      <c r="K155" s="46"/>
      <c r="L155" s="36"/>
      <c r="M155" s="45" t="str">
        <f t="shared" si="8"/>
        <v/>
      </c>
      <c r="N155" s="37" t="str">
        <f t="shared" si="9"/>
        <v/>
      </c>
      <c r="O155" s="37" t="str">
        <f>IF(A155="","",IF(M155="","No test date",IF(M155&lt;Methodology!$B$4,"Overdue","Current")))</f>
        <v/>
      </c>
      <c r="P155" s="24"/>
    </row>
  </sheetData>
  <autoFilter ref="A5:P155" xr:uid="{00000000-0001-0000-0900-000000000000}"/>
  <conditionalFormatting sqref="N6:N155">
    <cfRule type="expression" dxfId="40" priority="2">
      <formula>N6="Effective"</formula>
    </cfRule>
    <cfRule type="expression" dxfId="39" priority="3">
      <formula>OR(N6="Partially effective",N6="Not tested")</formula>
    </cfRule>
    <cfRule type="expression" dxfId="38" priority="4">
      <formula>N6="Ineffective"</formula>
    </cfRule>
  </conditionalFormatting>
  <conditionalFormatting sqref="O6:O155">
    <cfRule type="expression" dxfId="37" priority="5">
      <formula>O6="Overdue"</formula>
    </cfRule>
    <cfRule type="expression" dxfId="36" priority="6">
      <formula>O6="No test date"</formula>
    </cfRule>
  </conditionalFormatting>
  <dataValidations count="3">
    <dataValidation type="list" allowBlank="1" showErrorMessage="1" sqref="G6:G155" xr:uid="{00000000-0002-0000-0900-000001000000}">
      <formula1>"Preventive,Detective,Corrective"</formula1>
      <formula2>0</formula2>
    </dataValidation>
    <dataValidation type="list" allowBlank="1" showErrorMessage="1" sqref="I6:I155" xr:uid="{00000000-0002-0000-0900-000002000000}">
      <formula1>"Effective,Partially effective,Ineffective"</formula1>
      <formula2>0</formula2>
    </dataValidation>
    <dataValidation type="list" allowBlank="1" showErrorMessage="1" sqref="J6:J155" xr:uid="{00000000-0002-0000-0900-000003000000}">
      <formula1>"Effective,Partially effective,Ineffective,Not tested"</formula1>
      <formula2>0</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r:uid="{00000000-0002-0000-0900-000000000000}">
          <x14:formula1>
            <xm:f>'Risk Register'!$A$6:$A$105</xm:f>
          </x14:formula1>
          <x14:formula2>
            <xm:f>0</xm:f>
          </x14:formula2>
          <xm:sqref>B6:B155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548235"/>
  </sheetPr>
  <dimension ref="A1:M105"/>
  <sheetViews>
    <sheetView showGridLines="0" workbookViewId="0">
      <pane xSplit="2" ySplit="5" topLeftCell="C6" activePane="bottomRight" state="frozen"/>
      <selection pane="topRight"/>
      <selection pane="bottomLeft"/>
      <selection pane="bottomRight" activeCell="C6" sqref="C6"/>
    </sheetView>
  </sheetViews>
  <sheetFormatPr defaultColWidth="8.6328125" defaultRowHeight="14.5" x14ac:dyDescent="0.35"/>
  <cols>
    <col min="1" max="1" width="9" customWidth="1"/>
    <col min="2" max="2" width="30" customWidth="1"/>
    <col min="3" max="3" width="11" customWidth="1"/>
    <col min="4" max="5" width="10" customWidth="1"/>
    <col min="6" max="6" width="11" customWidth="1"/>
    <col min="7" max="9" width="10" customWidth="1"/>
    <col min="10" max="11" width="15" customWidth="1"/>
    <col min="12" max="12" width="32" customWidth="1"/>
    <col min="13" max="13" width="28" customWidth="1"/>
  </cols>
  <sheetData>
    <row r="1" spans="1:13" ht="20" x14ac:dyDescent="0.4">
      <c r="A1" s="2" t="s">
        <v>475</v>
      </c>
    </row>
    <row r="2" spans="1:13" x14ac:dyDescent="0.35">
      <c r="A2" s="1" t="s">
        <v>476</v>
      </c>
    </row>
    <row r="3" spans="1:13" x14ac:dyDescent="0.35">
      <c r="A3" s="1" t="s">
        <v>477</v>
      </c>
    </row>
    <row r="5" spans="1:13" ht="43.5" customHeight="1" x14ac:dyDescent="0.35">
      <c r="A5" s="16" t="s">
        <v>224</v>
      </c>
      <c r="B5" s="16" t="s">
        <v>225</v>
      </c>
      <c r="C5" s="16" t="s">
        <v>238</v>
      </c>
      <c r="D5" s="16" t="s">
        <v>478</v>
      </c>
      <c r="E5" s="16" t="s">
        <v>449</v>
      </c>
      <c r="F5" s="16" t="s">
        <v>450</v>
      </c>
      <c r="G5" s="16" t="s">
        <v>464</v>
      </c>
      <c r="H5" s="16" t="s">
        <v>456</v>
      </c>
      <c r="I5" s="16" t="s">
        <v>479</v>
      </c>
      <c r="J5" s="16" t="s">
        <v>480</v>
      </c>
      <c r="K5" s="16" t="s">
        <v>481</v>
      </c>
      <c r="L5" s="16" t="s">
        <v>482</v>
      </c>
      <c r="M5" s="16" t="s">
        <v>483</v>
      </c>
    </row>
    <row r="6" spans="1:13" x14ac:dyDescent="0.35">
      <c r="A6" s="38" t="str">
        <f>IF('Risk Register'!A6="","",'Risk Register'!A6)</f>
        <v>R-001</v>
      </c>
      <c r="B6" s="44" t="str">
        <f>IF(A6="","",'Risk Register'!B6)</f>
        <v>Ransomware on production</v>
      </c>
      <c r="C6" s="37" t="str">
        <f ca="1">IF(A6="","",'Risk Register'!P6)</f>
        <v>High</v>
      </c>
      <c r="D6" s="37">
        <f>IF(A6="","",COUNTIF('Risk-Control Matrix'!$B$6:$B$155,A6))</f>
        <v>3</v>
      </c>
      <c r="E6" s="37">
        <f>IF(A6="","",COUNTIFS('Risk-Control Matrix'!$B$6:$B$155,A6,'Risk-Control Matrix'!$N$6:$N$155,"Effective"))</f>
        <v>1</v>
      </c>
      <c r="F6" s="37">
        <f>IF(A6="","",COUNTIFS('Risk-Control Matrix'!$B$6:$B$155,A6,'Risk-Control Matrix'!$N$6:$N$155,"Partially effective"))</f>
        <v>1</v>
      </c>
      <c r="G6" s="37">
        <f>IF(A6="","",COUNTIFS('Risk-Control Matrix'!$B$6:$B$155,A6,'Risk-Control Matrix'!$N$6:$N$155,"Ineffective"))</f>
        <v>0</v>
      </c>
      <c r="H6" s="37">
        <f>IF(A6="","",COUNTIFS('Risk-Control Matrix'!$B$6:$B$155,A6,'Risk-Control Matrix'!$N$6:$N$155,"Not tested"))</f>
        <v>1</v>
      </c>
      <c r="I6" s="37">
        <f ca="1">IF(A6="","",COUNTIFS('Risk-Control Matrix'!$B$6:$B$155,A6,'Risk-Control Matrix'!$O$6:$O$155,"Overdue"))</f>
        <v>0</v>
      </c>
      <c r="J6" s="37" t="str">
        <f>IF(A6="","",IF(D6=0,Methodology!$A$44,IF(E6=D6,Methodology!$A$41,IF((E6+0.5*F6)/D6&gt;=0.5,Methodology!$A$42,Methodology!$A$43))))</f>
        <v>Adequate</v>
      </c>
      <c r="K6" s="37" t="str">
        <f>IF(A6="","",'Risk Register'!J6&amp;"")</f>
        <v>Adequate</v>
      </c>
      <c r="L6" s="38" t="str">
        <f t="shared" ref="L6:L37" si="0">IF(A6="","",IF(K6="","Not set in register",IF(J6=K6,"Aligned","Review: register says "&amp;K6)))</f>
        <v>Aligned</v>
      </c>
      <c r="M6" s="38" t="str">
        <f t="shared" ref="M6:M37" ca="1" si="1">IF(A6="","",IF(D6=0,"No controls mapped",IF(E6=0,"No fully effective control",IF(I6&gt;0,"Control testing overdue",""))))</f>
        <v/>
      </c>
    </row>
    <row r="7" spans="1:13" x14ac:dyDescent="0.35">
      <c r="A7" s="38" t="str">
        <f>IF('Risk Register'!A7="","",'Risk Register'!A7)</f>
        <v>R-002</v>
      </c>
      <c r="B7" s="44" t="str">
        <f>IF(A7="","",'Risk Register'!B7)</f>
        <v>SaaS provider data breach</v>
      </c>
      <c r="C7" s="37" t="str">
        <f ca="1">IF(A7="","",'Risk Register'!P7)</f>
        <v>High</v>
      </c>
      <c r="D7" s="37">
        <f>IF(A7="","",COUNTIF('Risk-Control Matrix'!$B$6:$B$155,A7))</f>
        <v>1</v>
      </c>
      <c r="E7" s="37">
        <f>IF(A7="","",COUNTIFS('Risk-Control Matrix'!$B$6:$B$155,A7,'Risk-Control Matrix'!$N$6:$N$155,"Effective"))</f>
        <v>0</v>
      </c>
      <c r="F7" s="37">
        <f>IF(A7="","",COUNTIFS('Risk-Control Matrix'!$B$6:$B$155,A7,'Risk-Control Matrix'!$N$6:$N$155,"Partially effective"))</f>
        <v>0</v>
      </c>
      <c r="G7" s="37">
        <f>IF(A7="","",COUNTIFS('Risk-Control Matrix'!$B$6:$B$155,A7,'Risk-Control Matrix'!$N$6:$N$155,"Ineffective"))</f>
        <v>1</v>
      </c>
      <c r="H7" s="37">
        <f>IF(A7="","",COUNTIFS('Risk-Control Matrix'!$B$6:$B$155,A7,'Risk-Control Matrix'!$N$6:$N$155,"Not tested"))</f>
        <v>0</v>
      </c>
      <c r="I7" s="37">
        <f ca="1">IF(A7="","",COUNTIFS('Risk-Control Matrix'!$B$6:$B$155,A7,'Risk-Control Matrix'!$O$6:$O$155,"Overdue"))</f>
        <v>1</v>
      </c>
      <c r="J7" s="37" t="str">
        <f>IF(A7="","",IF(D7=0,Methodology!$A$44,IF(E7=D7,Methodology!$A$41,IF((E7+0.5*F7)/D7&gt;=0.5,Methodology!$A$42,Methodology!$A$43))))</f>
        <v>Weak</v>
      </c>
      <c r="K7" s="37" t="str">
        <f>IF(A7="","",'Risk Register'!J7&amp;"")</f>
        <v>Weak</v>
      </c>
      <c r="L7" s="38" t="str">
        <f t="shared" si="0"/>
        <v>Aligned</v>
      </c>
      <c r="M7" s="38" t="str">
        <f t="shared" si="1"/>
        <v>No fully effective control</v>
      </c>
    </row>
    <row r="8" spans="1:13" x14ac:dyDescent="0.35">
      <c r="A8" s="38" t="str">
        <f>IF('Risk Register'!A8="","",'Risk Register'!A8)</f>
        <v>R-003</v>
      </c>
      <c r="B8" s="44" t="str">
        <f>IF(A8="","",'Risk Register'!B8)</f>
        <v>Sensitive data pasted into AI tools</v>
      </c>
      <c r="C8" s="37" t="str">
        <f ca="1">IF(A8="","",'Risk Register'!P8)</f>
        <v>Medium</v>
      </c>
      <c r="D8" s="37">
        <f>IF(A8="","",COUNTIF('Risk-Control Matrix'!$B$6:$B$155,A8))</f>
        <v>1</v>
      </c>
      <c r="E8" s="37">
        <f>IF(A8="","",COUNTIFS('Risk-Control Matrix'!$B$6:$B$155,A8,'Risk-Control Matrix'!$N$6:$N$155,"Effective"))</f>
        <v>0</v>
      </c>
      <c r="F8" s="37">
        <f>IF(A8="","",COUNTIFS('Risk-Control Matrix'!$B$6:$B$155,A8,'Risk-Control Matrix'!$N$6:$N$155,"Partially effective"))</f>
        <v>0</v>
      </c>
      <c r="G8" s="37">
        <f>IF(A8="","",COUNTIFS('Risk-Control Matrix'!$B$6:$B$155,A8,'Risk-Control Matrix'!$N$6:$N$155,"Ineffective"))</f>
        <v>0</v>
      </c>
      <c r="H8" s="37">
        <f>IF(A8="","",COUNTIFS('Risk-Control Matrix'!$B$6:$B$155,A8,'Risk-Control Matrix'!$N$6:$N$155,"Not tested"))</f>
        <v>1</v>
      </c>
      <c r="I8" s="37">
        <f>IF(A8="","",COUNTIFS('Risk-Control Matrix'!$B$6:$B$155,A8,'Risk-Control Matrix'!$O$6:$O$155,"Overdue"))</f>
        <v>0</v>
      </c>
      <c r="J8" s="37" t="str">
        <f>IF(A8="","",IF(D8=0,Methodology!$A$44,IF(E8=D8,Methodology!$A$41,IF((E8+0.5*F8)/D8&gt;=0.5,Methodology!$A$42,Methodology!$A$43))))</f>
        <v>Weak</v>
      </c>
      <c r="K8" s="37" t="str">
        <f>IF(A8="","",'Risk Register'!J8&amp;"")</f>
        <v>Weak</v>
      </c>
      <c r="L8" s="38" t="str">
        <f t="shared" si="0"/>
        <v>Aligned</v>
      </c>
      <c r="M8" s="38" t="str">
        <f t="shared" si="1"/>
        <v>No fully effective control</v>
      </c>
    </row>
    <row r="9" spans="1:13" x14ac:dyDescent="0.35">
      <c r="A9" s="38" t="str">
        <f>IF('Risk Register'!A9="","",'Risk Register'!A9)</f>
        <v>R-004</v>
      </c>
      <c r="B9" s="44" t="str">
        <f>IF(A9="","",'Risk Register'!B9)</f>
        <v>Missed regulatory deadlines</v>
      </c>
      <c r="C9" s="37" t="str">
        <f ca="1">IF(A9="","",'Risk Register'!P9)</f>
        <v>Medium</v>
      </c>
      <c r="D9" s="37">
        <f>IF(A9="","",COUNTIF('Risk-Control Matrix'!$B$6:$B$155,A9))</f>
        <v>1</v>
      </c>
      <c r="E9" s="37">
        <f>IF(A9="","",COUNTIFS('Risk-Control Matrix'!$B$6:$B$155,A9,'Risk-Control Matrix'!$N$6:$N$155,"Effective"))</f>
        <v>0</v>
      </c>
      <c r="F9" s="37">
        <f>IF(A9="","",COUNTIFS('Risk-Control Matrix'!$B$6:$B$155,A9,'Risk-Control Matrix'!$N$6:$N$155,"Partially effective"))</f>
        <v>1</v>
      </c>
      <c r="G9" s="37">
        <f>IF(A9="","",COUNTIFS('Risk-Control Matrix'!$B$6:$B$155,A9,'Risk-Control Matrix'!$N$6:$N$155,"Ineffective"))</f>
        <v>0</v>
      </c>
      <c r="H9" s="37">
        <f>IF(A9="","",COUNTIFS('Risk-Control Matrix'!$B$6:$B$155,A9,'Risk-Control Matrix'!$N$6:$N$155,"Not tested"))</f>
        <v>0</v>
      </c>
      <c r="I9" s="37">
        <f ca="1">IF(A9="","",COUNTIFS('Risk-Control Matrix'!$B$6:$B$155,A9,'Risk-Control Matrix'!$O$6:$O$155,"Overdue"))</f>
        <v>0</v>
      </c>
      <c r="J9" s="37" t="str">
        <f>IF(A9="","",IF(D9=0,Methodology!$A$44,IF(E9=D9,Methodology!$A$41,IF((E9+0.5*F9)/D9&gt;=0.5,Methodology!$A$42,Methodology!$A$43))))</f>
        <v>Adequate</v>
      </c>
      <c r="K9" s="37" t="str">
        <f>IF(A9="","",'Risk Register'!J9&amp;"")</f>
        <v>Strong</v>
      </c>
      <c r="L9" s="38" t="str">
        <f t="shared" si="0"/>
        <v>Review: register says Strong</v>
      </c>
      <c r="M9" s="38" t="str">
        <f t="shared" si="1"/>
        <v>No fully effective control</v>
      </c>
    </row>
    <row r="10" spans="1:13" x14ac:dyDescent="0.35">
      <c r="A10" s="38" t="str">
        <f>IF('Risk Register'!A10="","",'Risk Register'!A10)</f>
        <v>R-005</v>
      </c>
      <c r="B10" s="44" t="str">
        <f>IF(A10="","",'Risk Register'!B10)</f>
        <v>Key-person dependency</v>
      </c>
      <c r="C10" s="37" t="str">
        <f ca="1">IF(A10="","",'Risk Register'!P10)</f>
        <v>Medium</v>
      </c>
      <c r="D10" s="37">
        <f>IF(A10="","",COUNTIF('Risk-Control Matrix'!$B$6:$B$155,A10))</f>
        <v>0</v>
      </c>
      <c r="E10" s="37">
        <f>IF(A10="","",COUNTIFS('Risk-Control Matrix'!$B$6:$B$155,A10,'Risk-Control Matrix'!$N$6:$N$155,"Effective"))</f>
        <v>0</v>
      </c>
      <c r="F10" s="37">
        <f>IF(A10="","",COUNTIFS('Risk-Control Matrix'!$B$6:$B$155,A10,'Risk-Control Matrix'!$N$6:$N$155,"Partially effective"))</f>
        <v>0</v>
      </c>
      <c r="G10" s="37">
        <f>IF(A10="","",COUNTIFS('Risk-Control Matrix'!$B$6:$B$155,A10,'Risk-Control Matrix'!$N$6:$N$155,"Ineffective"))</f>
        <v>0</v>
      </c>
      <c r="H10" s="37">
        <f>IF(A10="","",COUNTIFS('Risk-Control Matrix'!$B$6:$B$155,A10,'Risk-Control Matrix'!$N$6:$N$155,"Not tested"))</f>
        <v>0</v>
      </c>
      <c r="I10" s="37">
        <f>IF(A10="","",COUNTIFS('Risk-Control Matrix'!$B$6:$B$155,A10,'Risk-Control Matrix'!$O$6:$O$155,"Overdue"))</f>
        <v>0</v>
      </c>
      <c r="J10" s="37" t="str">
        <f>IF(A10="","",IF(D10=0,Methodology!$A$44,IF(E10=D10,Methodology!$A$41,IF((E10+0.5*F10)/D10&gt;=0.5,Methodology!$A$42,Methodology!$A$43))))</f>
        <v>None</v>
      </c>
      <c r="K10" s="37" t="str">
        <f>IF(A10="","",'Risk Register'!J10&amp;"")</f>
        <v>Adequate</v>
      </c>
      <c r="L10" s="38" t="str">
        <f t="shared" si="0"/>
        <v>Review: register says Adequate</v>
      </c>
      <c r="M10" s="38" t="str">
        <f t="shared" si="1"/>
        <v>No controls mapped</v>
      </c>
    </row>
    <row r="11" spans="1:13" x14ac:dyDescent="0.35">
      <c r="A11" s="38" t="str">
        <f>IF('Risk Register'!A11="","",'Risk Register'!A11)</f>
        <v>R-006</v>
      </c>
      <c r="B11" s="44" t="str">
        <f>IF(A11="","",'Risk Register'!B11)</f>
        <v>Legacy ERP out of support</v>
      </c>
      <c r="C11" s="37" t="str">
        <f ca="1">IF(A11="","",'Risk Register'!P11)</f>
        <v>High</v>
      </c>
      <c r="D11" s="37">
        <f>IF(A11="","",COUNTIF('Risk-Control Matrix'!$B$6:$B$155,A11))</f>
        <v>0</v>
      </c>
      <c r="E11" s="37">
        <f>IF(A11="","",COUNTIFS('Risk-Control Matrix'!$B$6:$B$155,A11,'Risk-Control Matrix'!$N$6:$N$155,"Effective"))</f>
        <v>0</v>
      </c>
      <c r="F11" s="37">
        <f>IF(A11="","",COUNTIFS('Risk-Control Matrix'!$B$6:$B$155,A11,'Risk-Control Matrix'!$N$6:$N$155,"Partially effective"))</f>
        <v>0</v>
      </c>
      <c r="G11" s="37">
        <f>IF(A11="","",COUNTIFS('Risk-Control Matrix'!$B$6:$B$155,A11,'Risk-Control Matrix'!$N$6:$N$155,"Ineffective"))</f>
        <v>0</v>
      </c>
      <c r="H11" s="37">
        <f>IF(A11="","",COUNTIFS('Risk-Control Matrix'!$B$6:$B$155,A11,'Risk-Control Matrix'!$N$6:$N$155,"Not tested"))</f>
        <v>0</v>
      </c>
      <c r="I11" s="37">
        <f>IF(A11="","",COUNTIFS('Risk-Control Matrix'!$B$6:$B$155,A11,'Risk-Control Matrix'!$O$6:$O$155,"Overdue"))</f>
        <v>0</v>
      </c>
      <c r="J11" s="37" t="str">
        <f>IF(A11="","",IF(D11=0,Methodology!$A$44,IF(E11=D11,Methodology!$A$41,IF((E11+0.5*F11)/D11&gt;=0.5,Methodology!$A$42,Methodology!$A$43))))</f>
        <v>None</v>
      </c>
      <c r="K11" s="37" t="str">
        <f>IF(A11="","",'Risk Register'!J11&amp;"")</f>
        <v>None</v>
      </c>
      <c r="L11" s="38" t="str">
        <f t="shared" si="0"/>
        <v>Aligned</v>
      </c>
      <c r="M11" s="38" t="str">
        <f t="shared" si="1"/>
        <v>No controls mapped</v>
      </c>
    </row>
    <row r="12" spans="1:13" x14ac:dyDescent="0.35">
      <c r="A12" s="38" t="str">
        <f>IF('Risk Register'!A12="","",'Risk Register'!A12)</f>
        <v>R-007</v>
      </c>
      <c r="B12" s="44" t="str">
        <f>IF(A12="","",'Risk Register'!B12)</f>
        <v>Supplier price inflation</v>
      </c>
      <c r="C12" s="37" t="str">
        <f ca="1">IF(A12="","",'Risk Register'!P12)</f>
        <v>Medium</v>
      </c>
      <c r="D12" s="37">
        <f>IF(A12="","",COUNTIF('Risk-Control Matrix'!$B$6:$B$155,A12))</f>
        <v>0</v>
      </c>
      <c r="E12" s="37">
        <f>IF(A12="","",COUNTIFS('Risk-Control Matrix'!$B$6:$B$155,A12,'Risk-Control Matrix'!$N$6:$N$155,"Effective"))</f>
        <v>0</v>
      </c>
      <c r="F12" s="37">
        <f>IF(A12="","",COUNTIFS('Risk-Control Matrix'!$B$6:$B$155,A12,'Risk-Control Matrix'!$N$6:$N$155,"Partially effective"))</f>
        <v>0</v>
      </c>
      <c r="G12" s="37">
        <f>IF(A12="","",COUNTIFS('Risk-Control Matrix'!$B$6:$B$155,A12,'Risk-Control Matrix'!$N$6:$N$155,"Ineffective"))</f>
        <v>0</v>
      </c>
      <c r="H12" s="37">
        <f>IF(A12="","",COUNTIFS('Risk-Control Matrix'!$B$6:$B$155,A12,'Risk-Control Matrix'!$N$6:$N$155,"Not tested"))</f>
        <v>0</v>
      </c>
      <c r="I12" s="37">
        <f>IF(A12="","",COUNTIFS('Risk-Control Matrix'!$B$6:$B$155,A12,'Risk-Control Matrix'!$O$6:$O$155,"Overdue"))</f>
        <v>0</v>
      </c>
      <c r="J12" s="37" t="str">
        <f>IF(A12="","",IF(D12=0,Methodology!$A$44,IF(E12=D12,Methodology!$A$41,IF((E12+0.5*F12)/D12&gt;=0.5,Methodology!$A$42,Methodology!$A$43))))</f>
        <v>None</v>
      </c>
      <c r="K12" s="37" t="str">
        <f>IF(A12="","",'Risk Register'!J12&amp;"")</f>
        <v>Adequate</v>
      </c>
      <c r="L12" s="38" t="str">
        <f t="shared" si="0"/>
        <v>Review: register says Adequate</v>
      </c>
      <c r="M12" s="38" t="str">
        <f t="shared" si="1"/>
        <v>No controls mapped</v>
      </c>
    </row>
    <row r="13" spans="1:13" x14ac:dyDescent="0.35">
      <c r="A13" s="38" t="str">
        <f>IF('Risk Register'!A13="","",'Risk Register'!A13)</f>
        <v>R-008</v>
      </c>
      <c r="B13" s="44" t="str">
        <f>IF(A13="","",'Risk Register'!B13)</f>
        <v>Loss of anchor customer</v>
      </c>
      <c r="C13" s="37" t="str">
        <f>IF(A13="","",'Risk Register'!P13)</f>
        <v>High</v>
      </c>
      <c r="D13" s="37">
        <f>IF(A13="","",COUNTIF('Risk-Control Matrix'!$B$6:$B$155,A13))</f>
        <v>1</v>
      </c>
      <c r="E13" s="37">
        <f>IF(A13="","",COUNTIFS('Risk-Control Matrix'!$B$6:$B$155,A13,'Risk-Control Matrix'!$N$6:$N$155,"Effective"))</f>
        <v>1</v>
      </c>
      <c r="F13" s="37">
        <f>IF(A13="","",COUNTIFS('Risk-Control Matrix'!$B$6:$B$155,A13,'Risk-Control Matrix'!$N$6:$N$155,"Partially effective"))</f>
        <v>0</v>
      </c>
      <c r="G13" s="37">
        <f>IF(A13="","",COUNTIFS('Risk-Control Matrix'!$B$6:$B$155,A13,'Risk-Control Matrix'!$N$6:$N$155,"Ineffective"))</f>
        <v>0</v>
      </c>
      <c r="H13" s="37">
        <f>IF(A13="","",COUNTIFS('Risk-Control Matrix'!$B$6:$B$155,A13,'Risk-Control Matrix'!$N$6:$N$155,"Not tested"))</f>
        <v>0</v>
      </c>
      <c r="I13" s="37">
        <f ca="1">IF(A13="","",COUNTIFS('Risk-Control Matrix'!$B$6:$B$155,A13,'Risk-Control Matrix'!$O$6:$O$155,"Overdue"))</f>
        <v>0</v>
      </c>
      <c r="J13" s="37" t="str">
        <f>IF(A13="","",IF(D13=0,Methodology!$A$44,IF(E13=D13,Methodology!$A$41,IF((E13+0.5*F13)/D13&gt;=0.5,Methodology!$A$42,Methodology!$A$43))))</f>
        <v>Strong</v>
      </c>
      <c r="K13" s="37" t="str">
        <f>IF(A13="","",'Risk Register'!J13&amp;"")</f>
        <v>Adequate</v>
      </c>
      <c r="L13" s="38" t="str">
        <f t="shared" si="0"/>
        <v>Review: register says Adequate</v>
      </c>
      <c r="M13" s="38" t="str">
        <f t="shared" ca="1" si="1"/>
        <v/>
      </c>
    </row>
    <row r="14" spans="1:13" x14ac:dyDescent="0.35">
      <c r="A14" s="38" t="str">
        <f>IF('Risk Register'!A14="","",'Risk Register'!A14)</f>
        <v/>
      </c>
      <c r="B14" s="44" t="str">
        <f>IF(A14="","",'Risk Register'!B14)</f>
        <v/>
      </c>
      <c r="C14" s="37" t="str">
        <f>IF(A14="","",'Risk Register'!P14)</f>
        <v/>
      </c>
      <c r="D14" s="37" t="str">
        <f>IF(A14="","",COUNTIF('Risk-Control Matrix'!$B$6:$B$155,A14))</f>
        <v/>
      </c>
      <c r="E14" s="37" t="str">
        <f>IF(A14="","",COUNTIFS('Risk-Control Matrix'!$B$6:$B$155,A14,'Risk-Control Matrix'!$N$6:$N$155,"Effective"))</f>
        <v/>
      </c>
      <c r="F14" s="37" t="str">
        <f>IF(A14="","",COUNTIFS('Risk-Control Matrix'!$B$6:$B$155,A14,'Risk-Control Matrix'!$N$6:$N$155,"Partially effective"))</f>
        <v/>
      </c>
      <c r="G14" s="37" t="str">
        <f>IF(A14="","",COUNTIFS('Risk-Control Matrix'!$B$6:$B$155,A14,'Risk-Control Matrix'!$N$6:$N$155,"Ineffective"))</f>
        <v/>
      </c>
      <c r="H14" s="37" t="str">
        <f>IF(A14="","",COUNTIFS('Risk-Control Matrix'!$B$6:$B$155,A14,'Risk-Control Matrix'!$N$6:$N$155,"Not tested"))</f>
        <v/>
      </c>
      <c r="I14" s="37" t="str">
        <f>IF(A14="","",COUNTIFS('Risk-Control Matrix'!$B$6:$B$155,A14,'Risk-Control Matrix'!$O$6:$O$155,"Overdue"))</f>
        <v/>
      </c>
      <c r="J14" s="37" t="str">
        <f>IF(A14="","",IF(D14=0,Methodology!$A$44,IF(E14=D14,Methodology!$A$41,IF((E14+0.5*F14)/D14&gt;=0.5,Methodology!$A$42,Methodology!$A$43))))</f>
        <v/>
      </c>
      <c r="K14" s="37" t="str">
        <f>IF(A14="","",'Risk Register'!J14&amp;"")</f>
        <v/>
      </c>
      <c r="L14" s="38" t="str">
        <f t="shared" si="0"/>
        <v/>
      </c>
      <c r="M14" s="38" t="str">
        <f t="shared" si="1"/>
        <v/>
      </c>
    </row>
    <row r="15" spans="1:13" x14ac:dyDescent="0.35">
      <c r="A15" s="38" t="str">
        <f>IF('Risk Register'!A15="","",'Risk Register'!A15)</f>
        <v/>
      </c>
      <c r="B15" s="44" t="str">
        <f>IF(A15="","",'Risk Register'!B15)</f>
        <v/>
      </c>
      <c r="C15" s="37" t="str">
        <f>IF(A15="","",'Risk Register'!P15)</f>
        <v/>
      </c>
      <c r="D15" s="37" t="str">
        <f>IF(A15="","",COUNTIF('Risk-Control Matrix'!$B$6:$B$155,A15))</f>
        <v/>
      </c>
      <c r="E15" s="37" t="str">
        <f>IF(A15="","",COUNTIFS('Risk-Control Matrix'!$B$6:$B$155,A15,'Risk-Control Matrix'!$N$6:$N$155,"Effective"))</f>
        <v/>
      </c>
      <c r="F15" s="37" t="str">
        <f>IF(A15="","",COUNTIFS('Risk-Control Matrix'!$B$6:$B$155,A15,'Risk-Control Matrix'!$N$6:$N$155,"Partially effective"))</f>
        <v/>
      </c>
      <c r="G15" s="37" t="str">
        <f>IF(A15="","",COUNTIFS('Risk-Control Matrix'!$B$6:$B$155,A15,'Risk-Control Matrix'!$N$6:$N$155,"Ineffective"))</f>
        <v/>
      </c>
      <c r="H15" s="37" t="str">
        <f>IF(A15="","",COUNTIFS('Risk-Control Matrix'!$B$6:$B$155,A15,'Risk-Control Matrix'!$N$6:$N$155,"Not tested"))</f>
        <v/>
      </c>
      <c r="I15" s="37" t="str">
        <f>IF(A15="","",COUNTIFS('Risk-Control Matrix'!$B$6:$B$155,A15,'Risk-Control Matrix'!$O$6:$O$155,"Overdue"))</f>
        <v/>
      </c>
      <c r="J15" s="37" t="str">
        <f>IF(A15="","",IF(D15=0,Methodology!$A$44,IF(E15=D15,Methodology!$A$41,IF((E15+0.5*F15)/D15&gt;=0.5,Methodology!$A$42,Methodology!$A$43))))</f>
        <v/>
      </c>
      <c r="K15" s="37" t="str">
        <f>IF(A15="","",'Risk Register'!J15&amp;"")</f>
        <v/>
      </c>
      <c r="L15" s="38" t="str">
        <f t="shared" si="0"/>
        <v/>
      </c>
      <c r="M15" s="38" t="str">
        <f t="shared" si="1"/>
        <v/>
      </c>
    </row>
    <row r="16" spans="1:13" x14ac:dyDescent="0.35">
      <c r="A16" s="38" t="str">
        <f>IF('Risk Register'!A16="","",'Risk Register'!A16)</f>
        <v/>
      </c>
      <c r="B16" s="44" t="str">
        <f>IF(A16="","",'Risk Register'!B16)</f>
        <v/>
      </c>
      <c r="C16" s="37" t="str">
        <f>IF(A16="","",'Risk Register'!P16)</f>
        <v/>
      </c>
      <c r="D16" s="37" t="str">
        <f>IF(A16="","",COUNTIF('Risk-Control Matrix'!$B$6:$B$155,A16))</f>
        <v/>
      </c>
      <c r="E16" s="37" t="str">
        <f>IF(A16="","",COUNTIFS('Risk-Control Matrix'!$B$6:$B$155,A16,'Risk-Control Matrix'!$N$6:$N$155,"Effective"))</f>
        <v/>
      </c>
      <c r="F16" s="37" t="str">
        <f>IF(A16="","",COUNTIFS('Risk-Control Matrix'!$B$6:$B$155,A16,'Risk-Control Matrix'!$N$6:$N$155,"Partially effective"))</f>
        <v/>
      </c>
      <c r="G16" s="37" t="str">
        <f>IF(A16="","",COUNTIFS('Risk-Control Matrix'!$B$6:$B$155,A16,'Risk-Control Matrix'!$N$6:$N$155,"Ineffective"))</f>
        <v/>
      </c>
      <c r="H16" s="37" t="str">
        <f>IF(A16="","",COUNTIFS('Risk-Control Matrix'!$B$6:$B$155,A16,'Risk-Control Matrix'!$N$6:$N$155,"Not tested"))</f>
        <v/>
      </c>
      <c r="I16" s="37" t="str">
        <f>IF(A16="","",COUNTIFS('Risk-Control Matrix'!$B$6:$B$155,A16,'Risk-Control Matrix'!$O$6:$O$155,"Overdue"))</f>
        <v/>
      </c>
      <c r="J16" s="37" t="str">
        <f>IF(A16="","",IF(D16=0,Methodology!$A$44,IF(E16=D16,Methodology!$A$41,IF((E16+0.5*F16)/D16&gt;=0.5,Methodology!$A$42,Methodology!$A$43))))</f>
        <v/>
      </c>
      <c r="K16" s="37" t="str">
        <f>IF(A16="","",'Risk Register'!J16&amp;"")</f>
        <v/>
      </c>
      <c r="L16" s="38" t="str">
        <f t="shared" si="0"/>
        <v/>
      </c>
      <c r="M16" s="38" t="str">
        <f t="shared" si="1"/>
        <v/>
      </c>
    </row>
    <row r="17" spans="1:13" x14ac:dyDescent="0.35">
      <c r="A17" s="38" t="str">
        <f>IF('Risk Register'!A17="","",'Risk Register'!A17)</f>
        <v/>
      </c>
      <c r="B17" s="44" t="str">
        <f>IF(A17="","",'Risk Register'!B17)</f>
        <v/>
      </c>
      <c r="C17" s="37" t="str">
        <f>IF(A17="","",'Risk Register'!P17)</f>
        <v/>
      </c>
      <c r="D17" s="37" t="str">
        <f>IF(A17="","",COUNTIF('Risk-Control Matrix'!$B$6:$B$155,A17))</f>
        <v/>
      </c>
      <c r="E17" s="37" t="str">
        <f>IF(A17="","",COUNTIFS('Risk-Control Matrix'!$B$6:$B$155,A17,'Risk-Control Matrix'!$N$6:$N$155,"Effective"))</f>
        <v/>
      </c>
      <c r="F17" s="37" t="str">
        <f>IF(A17="","",COUNTIFS('Risk-Control Matrix'!$B$6:$B$155,A17,'Risk-Control Matrix'!$N$6:$N$155,"Partially effective"))</f>
        <v/>
      </c>
      <c r="G17" s="37" t="str">
        <f>IF(A17="","",COUNTIFS('Risk-Control Matrix'!$B$6:$B$155,A17,'Risk-Control Matrix'!$N$6:$N$155,"Ineffective"))</f>
        <v/>
      </c>
      <c r="H17" s="37" t="str">
        <f>IF(A17="","",COUNTIFS('Risk-Control Matrix'!$B$6:$B$155,A17,'Risk-Control Matrix'!$N$6:$N$155,"Not tested"))</f>
        <v/>
      </c>
      <c r="I17" s="37" t="str">
        <f>IF(A17="","",COUNTIFS('Risk-Control Matrix'!$B$6:$B$155,A17,'Risk-Control Matrix'!$O$6:$O$155,"Overdue"))</f>
        <v/>
      </c>
      <c r="J17" s="37" t="str">
        <f>IF(A17="","",IF(D17=0,Methodology!$A$44,IF(E17=D17,Methodology!$A$41,IF((E17+0.5*F17)/D17&gt;=0.5,Methodology!$A$42,Methodology!$A$43))))</f>
        <v/>
      </c>
      <c r="K17" s="37" t="str">
        <f>IF(A17="","",'Risk Register'!J17&amp;"")</f>
        <v/>
      </c>
      <c r="L17" s="38" t="str">
        <f t="shared" si="0"/>
        <v/>
      </c>
      <c r="M17" s="38" t="str">
        <f t="shared" si="1"/>
        <v/>
      </c>
    </row>
    <row r="18" spans="1:13" x14ac:dyDescent="0.35">
      <c r="A18" s="38" t="str">
        <f>IF('Risk Register'!A18="","",'Risk Register'!A18)</f>
        <v/>
      </c>
      <c r="B18" s="44" t="str">
        <f>IF(A18="","",'Risk Register'!B18)</f>
        <v/>
      </c>
      <c r="C18" s="37" t="str">
        <f>IF(A18="","",'Risk Register'!P18)</f>
        <v/>
      </c>
      <c r="D18" s="37" t="str">
        <f>IF(A18="","",COUNTIF('Risk-Control Matrix'!$B$6:$B$155,A18))</f>
        <v/>
      </c>
      <c r="E18" s="37" t="str">
        <f>IF(A18="","",COUNTIFS('Risk-Control Matrix'!$B$6:$B$155,A18,'Risk-Control Matrix'!$N$6:$N$155,"Effective"))</f>
        <v/>
      </c>
      <c r="F18" s="37" t="str">
        <f>IF(A18="","",COUNTIFS('Risk-Control Matrix'!$B$6:$B$155,A18,'Risk-Control Matrix'!$N$6:$N$155,"Partially effective"))</f>
        <v/>
      </c>
      <c r="G18" s="37" t="str">
        <f>IF(A18="","",COUNTIFS('Risk-Control Matrix'!$B$6:$B$155,A18,'Risk-Control Matrix'!$N$6:$N$155,"Ineffective"))</f>
        <v/>
      </c>
      <c r="H18" s="37" t="str">
        <f>IF(A18="","",COUNTIFS('Risk-Control Matrix'!$B$6:$B$155,A18,'Risk-Control Matrix'!$N$6:$N$155,"Not tested"))</f>
        <v/>
      </c>
      <c r="I18" s="37" t="str">
        <f>IF(A18="","",COUNTIFS('Risk-Control Matrix'!$B$6:$B$155,A18,'Risk-Control Matrix'!$O$6:$O$155,"Overdue"))</f>
        <v/>
      </c>
      <c r="J18" s="37" t="str">
        <f>IF(A18="","",IF(D18=0,Methodology!$A$44,IF(E18=D18,Methodology!$A$41,IF((E18+0.5*F18)/D18&gt;=0.5,Methodology!$A$42,Methodology!$A$43))))</f>
        <v/>
      </c>
      <c r="K18" s="37" t="str">
        <f>IF(A18="","",'Risk Register'!J18&amp;"")</f>
        <v/>
      </c>
      <c r="L18" s="38" t="str">
        <f t="shared" si="0"/>
        <v/>
      </c>
      <c r="M18" s="38" t="str">
        <f t="shared" si="1"/>
        <v/>
      </c>
    </row>
    <row r="19" spans="1:13" x14ac:dyDescent="0.35">
      <c r="A19" s="38" t="str">
        <f>IF('Risk Register'!A19="","",'Risk Register'!A19)</f>
        <v/>
      </c>
      <c r="B19" s="44" t="str">
        <f>IF(A19="","",'Risk Register'!B19)</f>
        <v/>
      </c>
      <c r="C19" s="37" t="str">
        <f>IF(A19="","",'Risk Register'!P19)</f>
        <v/>
      </c>
      <c r="D19" s="37" t="str">
        <f>IF(A19="","",COUNTIF('Risk-Control Matrix'!$B$6:$B$155,A19))</f>
        <v/>
      </c>
      <c r="E19" s="37" t="str">
        <f>IF(A19="","",COUNTIFS('Risk-Control Matrix'!$B$6:$B$155,A19,'Risk-Control Matrix'!$N$6:$N$155,"Effective"))</f>
        <v/>
      </c>
      <c r="F19" s="37" t="str">
        <f>IF(A19="","",COUNTIFS('Risk-Control Matrix'!$B$6:$B$155,A19,'Risk-Control Matrix'!$N$6:$N$155,"Partially effective"))</f>
        <v/>
      </c>
      <c r="G19" s="37" t="str">
        <f>IF(A19="","",COUNTIFS('Risk-Control Matrix'!$B$6:$B$155,A19,'Risk-Control Matrix'!$N$6:$N$155,"Ineffective"))</f>
        <v/>
      </c>
      <c r="H19" s="37" t="str">
        <f>IF(A19="","",COUNTIFS('Risk-Control Matrix'!$B$6:$B$155,A19,'Risk-Control Matrix'!$N$6:$N$155,"Not tested"))</f>
        <v/>
      </c>
      <c r="I19" s="37" t="str">
        <f>IF(A19="","",COUNTIFS('Risk-Control Matrix'!$B$6:$B$155,A19,'Risk-Control Matrix'!$O$6:$O$155,"Overdue"))</f>
        <v/>
      </c>
      <c r="J19" s="37" t="str">
        <f>IF(A19="","",IF(D19=0,Methodology!$A$44,IF(E19=D19,Methodology!$A$41,IF((E19+0.5*F19)/D19&gt;=0.5,Methodology!$A$42,Methodology!$A$43))))</f>
        <v/>
      </c>
      <c r="K19" s="37" t="str">
        <f>IF(A19="","",'Risk Register'!J19&amp;"")</f>
        <v/>
      </c>
      <c r="L19" s="38" t="str">
        <f t="shared" si="0"/>
        <v/>
      </c>
      <c r="M19" s="38" t="str">
        <f t="shared" si="1"/>
        <v/>
      </c>
    </row>
    <row r="20" spans="1:13" x14ac:dyDescent="0.35">
      <c r="A20" s="38" t="str">
        <f>IF('Risk Register'!A20="","",'Risk Register'!A20)</f>
        <v/>
      </c>
      <c r="B20" s="44" t="str">
        <f>IF(A20="","",'Risk Register'!B20)</f>
        <v/>
      </c>
      <c r="C20" s="37" t="str">
        <f>IF(A20="","",'Risk Register'!P20)</f>
        <v/>
      </c>
      <c r="D20" s="37" t="str">
        <f>IF(A20="","",COUNTIF('Risk-Control Matrix'!$B$6:$B$155,A20))</f>
        <v/>
      </c>
      <c r="E20" s="37" t="str">
        <f>IF(A20="","",COUNTIFS('Risk-Control Matrix'!$B$6:$B$155,A20,'Risk-Control Matrix'!$N$6:$N$155,"Effective"))</f>
        <v/>
      </c>
      <c r="F20" s="37" t="str">
        <f>IF(A20="","",COUNTIFS('Risk-Control Matrix'!$B$6:$B$155,A20,'Risk-Control Matrix'!$N$6:$N$155,"Partially effective"))</f>
        <v/>
      </c>
      <c r="G20" s="37" t="str">
        <f>IF(A20="","",COUNTIFS('Risk-Control Matrix'!$B$6:$B$155,A20,'Risk-Control Matrix'!$N$6:$N$155,"Ineffective"))</f>
        <v/>
      </c>
      <c r="H20" s="37" t="str">
        <f>IF(A20="","",COUNTIFS('Risk-Control Matrix'!$B$6:$B$155,A20,'Risk-Control Matrix'!$N$6:$N$155,"Not tested"))</f>
        <v/>
      </c>
      <c r="I20" s="37" t="str">
        <f>IF(A20="","",COUNTIFS('Risk-Control Matrix'!$B$6:$B$155,A20,'Risk-Control Matrix'!$O$6:$O$155,"Overdue"))</f>
        <v/>
      </c>
      <c r="J20" s="37" t="str">
        <f>IF(A20="","",IF(D20=0,Methodology!$A$44,IF(E20=D20,Methodology!$A$41,IF((E20+0.5*F20)/D20&gt;=0.5,Methodology!$A$42,Methodology!$A$43))))</f>
        <v/>
      </c>
      <c r="K20" s="37" t="str">
        <f>IF(A20="","",'Risk Register'!J20&amp;"")</f>
        <v/>
      </c>
      <c r="L20" s="38" t="str">
        <f t="shared" si="0"/>
        <v/>
      </c>
      <c r="M20" s="38" t="str">
        <f t="shared" si="1"/>
        <v/>
      </c>
    </row>
    <row r="21" spans="1:13" x14ac:dyDescent="0.35">
      <c r="A21" s="38" t="str">
        <f>IF('Risk Register'!A21="","",'Risk Register'!A21)</f>
        <v/>
      </c>
      <c r="B21" s="44" t="str">
        <f>IF(A21="","",'Risk Register'!B21)</f>
        <v/>
      </c>
      <c r="C21" s="37" t="str">
        <f>IF(A21="","",'Risk Register'!P21)</f>
        <v/>
      </c>
      <c r="D21" s="37" t="str">
        <f>IF(A21="","",COUNTIF('Risk-Control Matrix'!$B$6:$B$155,A21))</f>
        <v/>
      </c>
      <c r="E21" s="37" t="str">
        <f>IF(A21="","",COUNTIFS('Risk-Control Matrix'!$B$6:$B$155,A21,'Risk-Control Matrix'!$N$6:$N$155,"Effective"))</f>
        <v/>
      </c>
      <c r="F21" s="37" t="str">
        <f>IF(A21="","",COUNTIFS('Risk-Control Matrix'!$B$6:$B$155,A21,'Risk-Control Matrix'!$N$6:$N$155,"Partially effective"))</f>
        <v/>
      </c>
      <c r="G21" s="37" t="str">
        <f>IF(A21="","",COUNTIFS('Risk-Control Matrix'!$B$6:$B$155,A21,'Risk-Control Matrix'!$N$6:$N$155,"Ineffective"))</f>
        <v/>
      </c>
      <c r="H21" s="37" t="str">
        <f>IF(A21="","",COUNTIFS('Risk-Control Matrix'!$B$6:$B$155,A21,'Risk-Control Matrix'!$N$6:$N$155,"Not tested"))</f>
        <v/>
      </c>
      <c r="I21" s="37" t="str">
        <f>IF(A21="","",COUNTIFS('Risk-Control Matrix'!$B$6:$B$155,A21,'Risk-Control Matrix'!$O$6:$O$155,"Overdue"))</f>
        <v/>
      </c>
      <c r="J21" s="37" t="str">
        <f>IF(A21="","",IF(D21=0,Methodology!$A$44,IF(E21=D21,Methodology!$A$41,IF((E21+0.5*F21)/D21&gt;=0.5,Methodology!$A$42,Methodology!$A$43))))</f>
        <v/>
      </c>
      <c r="K21" s="37" t="str">
        <f>IF(A21="","",'Risk Register'!J21&amp;"")</f>
        <v/>
      </c>
      <c r="L21" s="38" t="str">
        <f t="shared" si="0"/>
        <v/>
      </c>
      <c r="M21" s="38" t="str">
        <f t="shared" si="1"/>
        <v/>
      </c>
    </row>
    <row r="22" spans="1:13" x14ac:dyDescent="0.35">
      <c r="A22" s="38" t="str">
        <f>IF('Risk Register'!A22="","",'Risk Register'!A22)</f>
        <v/>
      </c>
      <c r="B22" s="44" t="str">
        <f>IF(A22="","",'Risk Register'!B22)</f>
        <v/>
      </c>
      <c r="C22" s="37" t="str">
        <f>IF(A22="","",'Risk Register'!P22)</f>
        <v/>
      </c>
      <c r="D22" s="37" t="str">
        <f>IF(A22="","",COUNTIF('Risk-Control Matrix'!$B$6:$B$155,A22))</f>
        <v/>
      </c>
      <c r="E22" s="37" t="str">
        <f>IF(A22="","",COUNTIFS('Risk-Control Matrix'!$B$6:$B$155,A22,'Risk-Control Matrix'!$N$6:$N$155,"Effective"))</f>
        <v/>
      </c>
      <c r="F22" s="37" t="str">
        <f>IF(A22="","",COUNTIFS('Risk-Control Matrix'!$B$6:$B$155,A22,'Risk-Control Matrix'!$N$6:$N$155,"Partially effective"))</f>
        <v/>
      </c>
      <c r="G22" s="37" t="str">
        <f>IF(A22="","",COUNTIFS('Risk-Control Matrix'!$B$6:$B$155,A22,'Risk-Control Matrix'!$N$6:$N$155,"Ineffective"))</f>
        <v/>
      </c>
      <c r="H22" s="37" t="str">
        <f>IF(A22="","",COUNTIFS('Risk-Control Matrix'!$B$6:$B$155,A22,'Risk-Control Matrix'!$N$6:$N$155,"Not tested"))</f>
        <v/>
      </c>
      <c r="I22" s="37" t="str">
        <f>IF(A22="","",COUNTIFS('Risk-Control Matrix'!$B$6:$B$155,A22,'Risk-Control Matrix'!$O$6:$O$155,"Overdue"))</f>
        <v/>
      </c>
      <c r="J22" s="37" t="str">
        <f>IF(A22="","",IF(D22=0,Methodology!$A$44,IF(E22=D22,Methodology!$A$41,IF((E22+0.5*F22)/D22&gt;=0.5,Methodology!$A$42,Methodology!$A$43))))</f>
        <v/>
      </c>
      <c r="K22" s="37" t="str">
        <f>IF(A22="","",'Risk Register'!J22&amp;"")</f>
        <v/>
      </c>
      <c r="L22" s="38" t="str">
        <f t="shared" si="0"/>
        <v/>
      </c>
      <c r="M22" s="38" t="str">
        <f t="shared" si="1"/>
        <v/>
      </c>
    </row>
    <row r="23" spans="1:13" x14ac:dyDescent="0.35">
      <c r="A23" s="38" t="str">
        <f>IF('Risk Register'!A23="","",'Risk Register'!A23)</f>
        <v/>
      </c>
      <c r="B23" s="44" t="str">
        <f>IF(A23="","",'Risk Register'!B23)</f>
        <v/>
      </c>
      <c r="C23" s="37" t="str">
        <f>IF(A23="","",'Risk Register'!P23)</f>
        <v/>
      </c>
      <c r="D23" s="37" t="str">
        <f>IF(A23="","",COUNTIF('Risk-Control Matrix'!$B$6:$B$155,A23))</f>
        <v/>
      </c>
      <c r="E23" s="37" t="str">
        <f>IF(A23="","",COUNTIFS('Risk-Control Matrix'!$B$6:$B$155,A23,'Risk-Control Matrix'!$N$6:$N$155,"Effective"))</f>
        <v/>
      </c>
      <c r="F23" s="37" t="str">
        <f>IF(A23="","",COUNTIFS('Risk-Control Matrix'!$B$6:$B$155,A23,'Risk-Control Matrix'!$N$6:$N$155,"Partially effective"))</f>
        <v/>
      </c>
      <c r="G23" s="37" t="str">
        <f>IF(A23="","",COUNTIFS('Risk-Control Matrix'!$B$6:$B$155,A23,'Risk-Control Matrix'!$N$6:$N$155,"Ineffective"))</f>
        <v/>
      </c>
      <c r="H23" s="37" t="str">
        <f>IF(A23="","",COUNTIFS('Risk-Control Matrix'!$B$6:$B$155,A23,'Risk-Control Matrix'!$N$6:$N$155,"Not tested"))</f>
        <v/>
      </c>
      <c r="I23" s="37" t="str">
        <f>IF(A23="","",COUNTIFS('Risk-Control Matrix'!$B$6:$B$155,A23,'Risk-Control Matrix'!$O$6:$O$155,"Overdue"))</f>
        <v/>
      </c>
      <c r="J23" s="37" t="str">
        <f>IF(A23="","",IF(D23=0,Methodology!$A$44,IF(E23=D23,Methodology!$A$41,IF((E23+0.5*F23)/D23&gt;=0.5,Methodology!$A$42,Methodology!$A$43))))</f>
        <v/>
      </c>
      <c r="K23" s="37" t="str">
        <f>IF(A23="","",'Risk Register'!J23&amp;"")</f>
        <v/>
      </c>
      <c r="L23" s="38" t="str">
        <f t="shared" si="0"/>
        <v/>
      </c>
      <c r="M23" s="38" t="str">
        <f t="shared" si="1"/>
        <v/>
      </c>
    </row>
    <row r="24" spans="1:13" x14ac:dyDescent="0.35">
      <c r="A24" s="38" t="str">
        <f>IF('Risk Register'!A24="","",'Risk Register'!A24)</f>
        <v/>
      </c>
      <c r="B24" s="44" t="str">
        <f>IF(A24="","",'Risk Register'!B24)</f>
        <v/>
      </c>
      <c r="C24" s="37" t="str">
        <f>IF(A24="","",'Risk Register'!P24)</f>
        <v/>
      </c>
      <c r="D24" s="37" t="str">
        <f>IF(A24="","",COUNTIF('Risk-Control Matrix'!$B$6:$B$155,A24))</f>
        <v/>
      </c>
      <c r="E24" s="37" t="str">
        <f>IF(A24="","",COUNTIFS('Risk-Control Matrix'!$B$6:$B$155,A24,'Risk-Control Matrix'!$N$6:$N$155,"Effective"))</f>
        <v/>
      </c>
      <c r="F24" s="37" t="str">
        <f>IF(A24="","",COUNTIFS('Risk-Control Matrix'!$B$6:$B$155,A24,'Risk-Control Matrix'!$N$6:$N$155,"Partially effective"))</f>
        <v/>
      </c>
      <c r="G24" s="37" t="str">
        <f>IF(A24="","",COUNTIFS('Risk-Control Matrix'!$B$6:$B$155,A24,'Risk-Control Matrix'!$N$6:$N$155,"Ineffective"))</f>
        <v/>
      </c>
      <c r="H24" s="37" t="str">
        <f>IF(A24="","",COUNTIFS('Risk-Control Matrix'!$B$6:$B$155,A24,'Risk-Control Matrix'!$N$6:$N$155,"Not tested"))</f>
        <v/>
      </c>
      <c r="I24" s="37" t="str">
        <f>IF(A24="","",COUNTIFS('Risk-Control Matrix'!$B$6:$B$155,A24,'Risk-Control Matrix'!$O$6:$O$155,"Overdue"))</f>
        <v/>
      </c>
      <c r="J24" s="37" t="str">
        <f>IF(A24="","",IF(D24=0,Methodology!$A$44,IF(E24=D24,Methodology!$A$41,IF((E24+0.5*F24)/D24&gt;=0.5,Methodology!$A$42,Methodology!$A$43))))</f>
        <v/>
      </c>
      <c r="K24" s="37" t="str">
        <f>IF(A24="","",'Risk Register'!J24&amp;"")</f>
        <v/>
      </c>
      <c r="L24" s="38" t="str">
        <f t="shared" si="0"/>
        <v/>
      </c>
      <c r="M24" s="38" t="str">
        <f t="shared" si="1"/>
        <v/>
      </c>
    </row>
    <row r="25" spans="1:13" x14ac:dyDescent="0.35">
      <c r="A25" s="38" t="str">
        <f>IF('Risk Register'!A25="","",'Risk Register'!A25)</f>
        <v/>
      </c>
      <c r="B25" s="44" t="str">
        <f>IF(A25="","",'Risk Register'!B25)</f>
        <v/>
      </c>
      <c r="C25" s="37" t="str">
        <f>IF(A25="","",'Risk Register'!P25)</f>
        <v/>
      </c>
      <c r="D25" s="37" t="str">
        <f>IF(A25="","",COUNTIF('Risk-Control Matrix'!$B$6:$B$155,A25))</f>
        <v/>
      </c>
      <c r="E25" s="37" t="str">
        <f>IF(A25="","",COUNTIFS('Risk-Control Matrix'!$B$6:$B$155,A25,'Risk-Control Matrix'!$N$6:$N$155,"Effective"))</f>
        <v/>
      </c>
      <c r="F25" s="37" t="str">
        <f>IF(A25="","",COUNTIFS('Risk-Control Matrix'!$B$6:$B$155,A25,'Risk-Control Matrix'!$N$6:$N$155,"Partially effective"))</f>
        <v/>
      </c>
      <c r="G25" s="37" t="str">
        <f>IF(A25="","",COUNTIFS('Risk-Control Matrix'!$B$6:$B$155,A25,'Risk-Control Matrix'!$N$6:$N$155,"Ineffective"))</f>
        <v/>
      </c>
      <c r="H25" s="37" t="str">
        <f>IF(A25="","",COUNTIFS('Risk-Control Matrix'!$B$6:$B$155,A25,'Risk-Control Matrix'!$N$6:$N$155,"Not tested"))</f>
        <v/>
      </c>
      <c r="I25" s="37" t="str">
        <f>IF(A25="","",COUNTIFS('Risk-Control Matrix'!$B$6:$B$155,A25,'Risk-Control Matrix'!$O$6:$O$155,"Overdue"))</f>
        <v/>
      </c>
      <c r="J25" s="37" t="str">
        <f>IF(A25="","",IF(D25=0,Methodology!$A$44,IF(E25=D25,Methodology!$A$41,IF((E25+0.5*F25)/D25&gt;=0.5,Methodology!$A$42,Methodology!$A$43))))</f>
        <v/>
      </c>
      <c r="K25" s="37" t="str">
        <f>IF(A25="","",'Risk Register'!J25&amp;"")</f>
        <v/>
      </c>
      <c r="L25" s="38" t="str">
        <f t="shared" si="0"/>
        <v/>
      </c>
      <c r="M25" s="38" t="str">
        <f t="shared" si="1"/>
        <v/>
      </c>
    </row>
    <row r="26" spans="1:13" x14ac:dyDescent="0.35">
      <c r="A26" s="38" t="str">
        <f>IF('Risk Register'!A26="","",'Risk Register'!A26)</f>
        <v/>
      </c>
      <c r="B26" s="44" t="str">
        <f>IF(A26="","",'Risk Register'!B26)</f>
        <v/>
      </c>
      <c r="C26" s="37" t="str">
        <f>IF(A26="","",'Risk Register'!P26)</f>
        <v/>
      </c>
      <c r="D26" s="37" t="str">
        <f>IF(A26="","",COUNTIF('Risk-Control Matrix'!$B$6:$B$155,A26))</f>
        <v/>
      </c>
      <c r="E26" s="37" t="str">
        <f>IF(A26="","",COUNTIFS('Risk-Control Matrix'!$B$6:$B$155,A26,'Risk-Control Matrix'!$N$6:$N$155,"Effective"))</f>
        <v/>
      </c>
      <c r="F26" s="37" t="str">
        <f>IF(A26="","",COUNTIFS('Risk-Control Matrix'!$B$6:$B$155,A26,'Risk-Control Matrix'!$N$6:$N$155,"Partially effective"))</f>
        <v/>
      </c>
      <c r="G26" s="37" t="str">
        <f>IF(A26="","",COUNTIFS('Risk-Control Matrix'!$B$6:$B$155,A26,'Risk-Control Matrix'!$N$6:$N$155,"Ineffective"))</f>
        <v/>
      </c>
      <c r="H26" s="37" t="str">
        <f>IF(A26="","",COUNTIFS('Risk-Control Matrix'!$B$6:$B$155,A26,'Risk-Control Matrix'!$N$6:$N$155,"Not tested"))</f>
        <v/>
      </c>
      <c r="I26" s="37" t="str">
        <f>IF(A26="","",COUNTIFS('Risk-Control Matrix'!$B$6:$B$155,A26,'Risk-Control Matrix'!$O$6:$O$155,"Overdue"))</f>
        <v/>
      </c>
      <c r="J26" s="37" t="str">
        <f>IF(A26="","",IF(D26=0,Methodology!$A$44,IF(E26=D26,Methodology!$A$41,IF((E26+0.5*F26)/D26&gt;=0.5,Methodology!$A$42,Methodology!$A$43))))</f>
        <v/>
      </c>
      <c r="K26" s="37" t="str">
        <f>IF(A26="","",'Risk Register'!J26&amp;"")</f>
        <v/>
      </c>
      <c r="L26" s="38" t="str">
        <f t="shared" si="0"/>
        <v/>
      </c>
      <c r="M26" s="38" t="str">
        <f t="shared" si="1"/>
        <v/>
      </c>
    </row>
    <row r="27" spans="1:13" x14ac:dyDescent="0.35">
      <c r="A27" s="38" t="str">
        <f>IF('Risk Register'!A27="","",'Risk Register'!A27)</f>
        <v/>
      </c>
      <c r="B27" s="44" t="str">
        <f>IF(A27="","",'Risk Register'!B27)</f>
        <v/>
      </c>
      <c r="C27" s="37" t="str">
        <f>IF(A27="","",'Risk Register'!P27)</f>
        <v/>
      </c>
      <c r="D27" s="37" t="str">
        <f>IF(A27="","",COUNTIF('Risk-Control Matrix'!$B$6:$B$155,A27))</f>
        <v/>
      </c>
      <c r="E27" s="37" t="str">
        <f>IF(A27="","",COUNTIFS('Risk-Control Matrix'!$B$6:$B$155,A27,'Risk-Control Matrix'!$N$6:$N$155,"Effective"))</f>
        <v/>
      </c>
      <c r="F27" s="37" t="str">
        <f>IF(A27="","",COUNTIFS('Risk-Control Matrix'!$B$6:$B$155,A27,'Risk-Control Matrix'!$N$6:$N$155,"Partially effective"))</f>
        <v/>
      </c>
      <c r="G27" s="37" t="str">
        <f>IF(A27="","",COUNTIFS('Risk-Control Matrix'!$B$6:$B$155,A27,'Risk-Control Matrix'!$N$6:$N$155,"Ineffective"))</f>
        <v/>
      </c>
      <c r="H27" s="37" t="str">
        <f>IF(A27="","",COUNTIFS('Risk-Control Matrix'!$B$6:$B$155,A27,'Risk-Control Matrix'!$N$6:$N$155,"Not tested"))</f>
        <v/>
      </c>
      <c r="I27" s="37" t="str">
        <f>IF(A27="","",COUNTIFS('Risk-Control Matrix'!$B$6:$B$155,A27,'Risk-Control Matrix'!$O$6:$O$155,"Overdue"))</f>
        <v/>
      </c>
      <c r="J27" s="37" t="str">
        <f>IF(A27="","",IF(D27=0,Methodology!$A$44,IF(E27=D27,Methodology!$A$41,IF((E27+0.5*F27)/D27&gt;=0.5,Methodology!$A$42,Methodology!$A$43))))</f>
        <v/>
      </c>
      <c r="K27" s="37" t="str">
        <f>IF(A27="","",'Risk Register'!J27&amp;"")</f>
        <v/>
      </c>
      <c r="L27" s="38" t="str">
        <f t="shared" si="0"/>
        <v/>
      </c>
      <c r="M27" s="38" t="str">
        <f t="shared" si="1"/>
        <v/>
      </c>
    </row>
    <row r="28" spans="1:13" x14ac:dyDescent="0.35">
      <c r="A28" s="38" t="str">
        <f>IF('Risk Register'!A28="","",'Risk Register'!A28)</f>
        <v/>
      </c>
      <c r="B28" s="44" t="str">
        <f>IF(A28="","",'Risk Register'!B28)</f>
        <v/>
      </c>
      <c r="C28" s="37" t="str">
        <f>IF(A28="","",'Risk Register'!P28)</f>
        <v/>
      </c>
      <c r="D28" s="37" t="str">
        <f>IF(A28="","",COUNTIF('Risk-Control Matrix'!$B$6:$B$155,A28))</f>
        <v/>
      </c>
      <c r="E28" s="37" t="str">
        <f>IF(A28="","",COUNTIFS('Risk-Control Matrix'!$B$6:$B$155,A28,'Risk-Control Matrix'!$N$6:$N$155,"Effective"))</f>
        <v/>
      </c>
      <c r="F28" s="37" t="str">
        <f>IF(A28="","",COUNTIFS('Risk-Control Matrix'!$B$6:$B$155,A28,'Risk-Control Matrix'!$N$6:$N$155,"Partially effective"))</f>
        <v/>
      </c>
      <c r="G28" s="37" t="str">
        <f>IF(A28="","",COUNTIFS('Risk-Control Matrix'!$B$6:$B$155,A28,'Risk-Control Matrix'!$N$6:$N$155,"Ineffective"))</f>
        <v/>
      </c>
      <c r="H28" s="37" t="str">
        <f>IF(A28="","",COUNTIFS('Risk-Control Matrix'!$B$6:$B$155,A28,'Risk-Control Matrix'!$N$6:$N$155,"Not tested"))</f>
        <v/>
      </c>
      <c r="I28" s="37" t="str">
        <f>IF(A28="","",COUNTIFS('Risk-Control Matrix'!$B$6:$B$155,A28,'Risk-Control Matrix'!$O$6:$O$155,"Overdue"))</f>
        <v/>
      </c>
      <c r="J28" s="37" t="str">
        <f>IF(A28="","",IF(D28=0,Methodology!$A$44,IF(E28=D28,Methodology!$A$41,IF((E28+0.5*F28)/D28&gt;=0.5,Methodology!$A$42,Methodology!$A$43))))</f>
        <v/>
      </c>
      <c r="K28" s="37" t="str">
        <f>IF(A28="","",'Risk Register'!J28&amp;"")</f>
        <v/>
      </c>
      <c r="L28" s="38" t="str">
        <f t="shared" si="0"/>
        <v/>
      </c>
      <c r="M28" s="38" t="str">
        <f t="shared" si="1"/>
        <v/>
      </c>
    </row>
    <row r="29" spans="1:13" x14ac:dyDescent="0.35">
      <c r="A29" s="38" t="str">
        <f>IF('Risk Register'!A29="","",'Risk Register'!A29)</f>
        <v/>
      </c>
      <c r="B29" s="44" t="str">
        <f>IF(A29="","",'Risk Register'!B29)</f>
        <v/>
      </c>
      <c r="C29" s="37" t="str">
        <f>IF(A29="","",'Risk Register'!P29)</f>
        <v/>
      </c>
      <c r="D29" s="37" t="str">
        <f>IF(A29="","",COUNTIF('Risk-Control Matrix'!$B$6:$B$155,A29))</f>
        <v/>
      </c>
      <c r="E29" s="37" t="str">
        <f>IF(A29="","",COUNTIFS('Risk-Control Matrix'!$B$6:$B$155,A29,'Risk-Control Matrix'!$N$6:$N$155,"Effective"))</f>
        <v/>
      </c>
      <c r="F29" s="37" t="str">
        <f>IF(A29="","",COUNTIFS('Risk-Control Matrix'!$B$6:$B$155,A29,'Risk-Control Matrix'!$N$6:$N$155,"Partially effective"))</f>
        <v/>
      </c>
      <c r="G29" s="37" t="str">
        <f>IF(A29="","",COUNTIFS('Risk-Control Matrix'!$B$6:$B$155,A29,'Risk-Control Matrix'!$N$6:$N$155,"Ineffective"))</f>
        <v/>
      </c>
      <c r="H29" s="37" t="str">
        <f>IF(A29="","",COUNTIFS('Risk-Control Matrix'!$B$6:$B$155,A29,'Risk-Control Matrix'!$N$6:$N$155,"Not tested"))</f>
        <v/>
      </c>
      <c r="I29" s="37" t="str">
        <f>IF(A29="","",COUNTIFS('Risk-Control Matrix'!$B$6:$B$155,A29,'Risk-Control Matrix'!$O$6:$O$155,"Overdue"))</f>
        <v/>
      </c>
      <c r="J29" s="37" t="str">
        <f>IF(A29="","",IF(D29=0,Methodology!$A$44,IF(E29=D29,Methodology!$A$41,IF((E29+0.5*F29)/D29&gt;=0.5,Methodology!$A$42,Methodology!$A$43))))</f>
        <v/>
      </c>
      <c r="K29" s="37" t="str">
        <f>IF(A29="","",'Risk Register'!J29&amp;"")</f>
        <v/>
      </c>
      <c r="L29" s="38" t="str">
        <f t="shared" si="0"/>
        <v/>
      </c>
      <c r="M29" s="38" t="str">
        <f t="shared" si="1"/>
        <v/>
      </c>
    </row>
    <row r="30" spans="1:13" x14ac:dyDescent="0.35">
      <c r="A30" s="38" t="str">
        <f>IF('Risk Register'!A30="","",'Risk Register'!A30)</f>
        <v/>
      </c>
      <c r="B30" s="44" t="str">
        <f>IF(A30="","",'Risk Register'!B30)</f>
        <v/>
      </c>
      <c r="C30" s="37" t="str">
        <f>IF(A30="","",'Risk Register'!P30)</f>
        <v/>
      </c>
      <c r="D30" s="37" t="str">
        <f>IF(A30="","",COUNTIF('Risk-Control Matrix'!$B$6:$B$155,A30))</f>
        <v/>
      </c>
      <c r="E30" s="37" t="str">
        <f>IF(A30="","",COUNTIFS('Risk-Control Matrix'!$B$6:$B$155,A30,'Risk-Control Matrix'!$N$6:$N$155,"Effective"))</f>
        <v/>
      </c>
      <c r="F30" s="37" t="str">
        <f>IF(A30="","",COUNTIFS('Risk-Control Matrix'!$B$6:$B$155,A30,'Risk-Control Matrix'!$N$6:$N$155,"Partially effective"))</f>
        <v/>
      </c>
      <c r="G30" s="37" t="str">
        <f>IF(A30="","",COUNTIFS('Risk-Control Matrix'!$B$6:$B$155,A30,'Risk-Control Matrix'!$N$6:$N$155,"Ineffective"))</f>
        <v/>
      </c>
      <c r="H30" s="37" t="str">
        <f>IF(A30="","",COUNTIFS('Risk-Control Matrix'!$B$6:$B$155,A30,'Risk-Control Matrix'!$N$6:$N$155,"Not tested"))</f>
        <v/>
      </c>
      <c r="I30" s="37" t="str">
        <f>IF(A30="","",COUNTIFS('Risk-Control Matrix'!$B$6:$B$155,A30,'Risk-Control Matrix'!$O$6:$O$155,"Overdue"))</f>
        <v/>
      </c>
      <c r="J30" s="37" t="str">
        <f>IF(A30="","",IF(D30=0,Methodology!$A$44,IF(E30=D30,Methodology!$A$41,IF((E30+0.5*F30)/D30&gt;=0.5,Methodology!$A$42,Methodology!$A$43))))</f>
        <v/>
      </c>
      <c r="K30" s="37" t="str">
        <f>IF(A30="","",'Risk Register'!J30&amp;"")</f>
        <v/>
      </c>
      <c r="L30" s="38" t="str">
        <f t="shared" si="0"/>
        <v/>
      </c>
      <c r="M30" s="38" t="str">
        <f t="shared" si="1"/>
        <v/>
      </c>
    </row>
    <row r="31" spans="1:13" x14ac:dyDescent="0.35">
      <c r="A31" s="38" t="str">
        <f>IF('Risk Register'!A31="","",'Risk Register'!A31)</f>
        <v/>
      </c>
      <c r="B31" s="44" t="str">
        <f>IF(A31="","",'Risk Register'!B31)</f>
        <v/>
      </c>
      <c r="C31" s="37" t="str">
        <f>IF(A31="","",'Risk Register'!P31)</f>
        <v/>
      </c>
      <c r="D31" s="37" t="str">
        <f>IF(A31="","",COUNTIF('Risk-Control Matrix'!$B$6:$B$155,A31))</f>
        <v/>
      </c>
      <c r="E31" s="37" t="str">
        <f>IF(A31="","",COUNTIFS('Risk-Control Matrix'!$B$6:$B$155,A31,'Risk-Control Matrix'!$N$6:$N$155,"Effective"))</f>
        <v/>
      </c>
      <c r="F31" s="37" t="str">
        <f>IF(A31="","",COUNTIFS('Risk-Control Matrix'!$B$6:$B$155,A31,'Risk-Control Matrix'!$N$6:$N$155,"Partially effective"))</f>
        <v/>
      </c>
      <c r="G31" s="37" t="str">
        <f>IF(A31="","",COUNTIFS('Risk-Control Matrix'!$B$6:$B$155,A31,'Risk-Control Matrix'!$N$6:$N$155,"Ineffective"))</f>
        <v/>
      </c>
      <c r="H31" s="37" t="str">
        <f>IF(A31="","",COUNTIFS('Risk-Control Matrix'!$B$6:$B$155,A31,'Risk-Control Matrix'!$N$6:$N$155,"Not tested"))</f>
        <v/>
      </c>
      <c r="I31" s="37" t="str">
        <f>IF(A31="","",COUNTIFS('Risk-Control Matrix'!$B$6:$B$155,A31,'Risk-Control Matrix'!$O$6:$O$155,"Overdue"))</f>
        <v/>
      </c>
      <c r="J31" s="37" t="str">
        <f>IF(A31="","",IF(D31=0,Methodology!$A$44,IF(E31=D31,Methodology!$A$41,IF((E31+0.5*F31)/D31&gt;=0.5,Methodology!$A$42,Methodology!$A$43))))</f>
        <v/>
      </c>
      <c r="K31" s="37" t="str">
        <f>IF(A31="","",'Risk Register'!J31&amp;"")</f>
        <v/>
      </c>
      <c r="L31" s="38" t="str">
        <f t="shared" si="0"/>
        <v/>
      </c>
      <c r="M31" s="38" t="str">
        <f t="shared" si="1"/>
        <v/>
      </c>
    </row>
    <row r="32" spans="1:13" x14ac:dyDescent="0.35">
      <c r="A32" s="38" t="str">
        <f>IF('Risk Register'!A32="","",'Risk Register'!A32)</f>
        <v/>
      </c>
      <c r="B32" s="44" t="str">
        <f>IF(A32="","",'Risk Register'!B32)</f>
        <v/>
      </c>
      <c r="C32" s="37" t="str">
        <f>IF(A32="","",'Risk Register'!P32)</f>
        <v/>
      </c>
      <c r="D32" s="37" t="str">
        <f>IF(A32="","",COUNTIF('Risk-Control Matrix'!$B$6:$B$155,A32))</f>
        <v/>
      </c>
      <c r="E32" s="37" t="str">
        <f>IF(A32="","",COUNTIFS('Risk-Control Matrix'!$B$6:$B$155,A32,'Risk-Control Matrix'!$N$6:$N$155,"Effective"))</f>
        <v/>
      </c>
      <c r="F32" s="37" t="str">
        <f>IF(A32="","",COUNTIFS('Risk-Control Matrix'!$B$6:$B$155,A32,'Risk-Control Matrix'!$N$6:$N$155,"Partially effective"))</f>
        <v/>
      </c>
      <c r="G32" s="37" t="str">
        <f>IF(A32="","",COUNTIFS('Risk-Control Matrix'!$B$6:$B$155,A32,'Risk-Control Matrix'!$N$6:$N$155,"Ineffective"))</f>
        <v/>
      </c>
      <c r="H32" s="37" t="str">
        <f>IF(A32="","",COUNTIFS('Risk-Control Matrix'!$B$6:$B$155,A32,'Risk-Control Matrix'!$N$6:$N$155,"Not tested"))</f>
        <v/>
      </c>
      <c r="I32" s="37" t="str">
        <f>IF(A32="","",COUNTIFS('Risk-Control Matrix'!$B$6:$B$155,A32,'Risk-Control Matrix'!$O$6:$O$155,"Overdue"))</f>
        <v/>
      </c>
      <c r="J32" s="37" t="str">
        <f>IF(A32="","",IF(D32=0,Methodology!$A$44,IF(E32=D32,Methodology!$A$41,IF((E32+0.5*F32)/D32&gt;=0.5,Methodology!$A$42,Methodology!$A$43))))</f>
        <v/>
      </c>
      <c r="K32" s="37" t="str">
        <f>IF(A32="","",'Risk Register'!J32&amp;"")</f>
        <v/>
      </c>
      <c r="L32" s="38" t="str">
        <f t="shared" si="0"/>
        <v/>
      </c>
      <c r="M32" s="38" t="str">
        <f t="shared" si="1"/>
        <v/>
      </c>
    </row>
    <row r="33" spans="1:13" x14ac:dyDescent="0.35">
      <c r="A33" s="38" t="str">
        <f>IF('Risk Register'!A33="","",'Risk Register'!A33)</f>
        <v/>
      </c>
      <c r="B33" s="44" t="str">
        <f>IF(A33="","",'Risk Register'!B33)</f>
        <v/>
      </c>
      <c r="C33" s="37" t="str">
        <f>IF(A33="","",'Risk Register'!P33)</f>
        <v/>
      </c>
      <c r="D33" s="37" t="str">
        <f>IF(A33="","",COUNTIF('Risk-Control Matrix'!$B$6:$B$155,A33))</f>
        <v/>
      </c>
      <c r="E33" s="37" t="str">
        <f>IF(A33="","",COUNTIFS('Risk-Control Matrix'!$B$6:$B$155,A33,'Risk-Control Matrix'!$N$6:$N$155,"Effective"))</f>
        <v/>
      </c>
      <c r="F33" s="37" t="str">
        <f>IF(A33="","",COUNTIFS('Risk-Control Matrix'!$B$6:$B$155,A33,'Risk-Control Matrix'!$N$6:$N$155,"Partially effective"))</f>
        <v/>
      </c>
      <c r="G33" s="37" t="str">
        <f>IF(A33="","",COUNTIFS('Risk-Control Matrix'!$B$6:$B$155,A33,'Risk-Control Matrix'!$N$6:$N$155,"Ineffective"))</f>
        <v/>
      </c>
      <c r="H33" s="37" t="str">
        <f>IF(A33="","",COUNTIFS('Risk-Control Matrix'!$B$6:$B$155,A33,'Risk-Control Matrix'!$N$6:$N$155,"Not tested"))</f>
        <v/>
      </c>
      <c r="I33" s="37" t="str">
        <f>IF(A33="","",COUNTIFS('Risk-Control Matrix'!$B$6:$B$155,A33,'Risk-Control Matrix'!$O$6:$O$155,"Overdue"))</f>
        <v/>
      </c>
      <c r="J33" s="37" t="str">
        <f>IF(A33="","",IF(D33=0,Methodology!$A$44,IF(E33=D33,Methodology!$A$41,IF((E33+0.5*F33)/D33&gt;=0.5,Methodology!$A$42,Methodology!$A$43))))</f>
        <v/>
      </c>
      <c r="K33" s="37" t="str">
        <f>IF(A33="","",'Risk Register'!J33&amp;"")</f>
        <v/>
      </c>
      <c r="L33" s="38" t="str">
        <f t="shared" si="0"/>
        <v/>
      </c>
      <c r="M33" s="38" t="str">
        <f t="shared" si="1"/>
        <v/>
      </c>
    </row>
    <row r="34" spans="1:13" x14ac:dyDescent="0.35">
      <c r="A34" s="38" t="str">
        <f>IF('Risk Register'!A34="","",'Risk Register'!A34)</f>
        <v/>
      </c>
      <c r="B34" s="44" t="str">
        <f>IF(A34="","",'Risk Register'!B34)</f>
        <v/>
      </c>
      <c r="C34" s="37" t="str">
        <f>IF(A34="","",'Risk Register'!P34)</f>
        <v/>
      </c>
      <c r="D34" s="37" t="str">
        <f>IF(A34="","",COUNTIF('Risk-Control Matrix'!$B$6:$B$155,A34))</f>
        <v/>
      </c>
      <c r="E34" s="37" t="str">
        <f>IF(A34="","",COUNTIFS('Risk-Control Matrix'!$B$6:$B$155,A34,'Risk-Control Matrix'!$N$6:$N$155,"Effective"))</f>
        <v/>
      </c>
      <c r="F34" s="37" t="str">
        <f>IF(A34="","",COUNTIFS('Risk-Control Matrix'!$B$6:$B$155,A34,'Risk-Control Matrix'!$N$6:$N$155,"Partially effective"))</f>
        <v/>
      </c>
      <c r="G34" s="37" t="str">
        <f>IF(A34="","",COUNTIFS('Risk-Control Matrix'!$B$6:$B$155,A34,'Risk-Control Matrix'!$N$6:$N$155,"Ineffective"))</f>
        <v/>
      </c>
      <c r="H34" s="37" t="str">
        <f>IF(A34="","",COUNTIFS('Risk-Control Matrix'!$B$6:$B$155,A34,'Risk-Control Matrix'!$N$6:$N$155,"Not tested"))</f>
        <v/>
      </c>
      <c r="I34" s="37" t="str">
        <f>IF(A34="","",COUNTIFS('Risk-Control Matrix'!$B$6:$B$155,A34,'Risk-Control Matrix'!$O$6:$O$155,"Overdue"))</f>
        <v/>
      </c>
      <c r="J34" s="37" t="str">
        <f>IF(A34="","",IF(D34=0,Methodology!$A$44,IF(E34=D34,Methodology!$A$41,IF((E34+0.5*F34)/D34&gt;=0.5,Methodology!$A$42,Methodology!$A$43))))</f>
        <v/>
      </c>
      <c r="K34" s="37" t="str">
        <f>IF(A34="","",'Risk Register'!J34&amp;"")</f>
        <v/>
      </c>
      <c r="L34" s="38" t="str">
        <f t="shared" si="0"/>
        <v/>
      </c>
      <c r="M34" s="38" t="str">
        <f t="shared" si="1"/>
        <v/>
      </c>
    </row>
    <row r="35" spans="1:13" x14ac:dyDescent="0.35">
      <c r="A35" s="38" t="str">
        <f>IF('Risk Register'!A35="","",'Risk Register'!A35)</f>
        <v/>
      </c>
      <c r="B35" s="44" t="str">
        <f>IF(A35="","",'Risk Register'!B35)</f>
        <v/>
      </c>
      <c r="C35" s="37" t="str">
        <f>IF(A35="","",'Risk Register'!P35)</f>
        <v/>
      </c>
      <c r="D35" s="37" t="str">
        <f>IF(A35="","",COUNTIF('Risk-Control Matrix'!$B$6:$B$155,A35))</f>
        <v/>
      </c>
      <c r="E35" s="37" t="str">
        <f>IF(A35="","",COUNTIFS('Risk-Control Matrix'!$B$6:$B$155,A35,'Risk-Control Matrix'!$N$6:$N$155,"Effective"))</f>
        <v/>
      </c>
      <c r="F35" s="37" t="str">
        <f>IF(A35="","",COUNTIFS('Risk-Control Matrix'!$B$6:$B$155,A35,'Risk-Control Matrix'!$N$6:$N$155,"Partially effective"))</f>
        <v/>
      </c>
      <c r="G35" s="37" t="str">
        <f>IF(A35="","",COUNTIFS('Risk-Control Matrix'!$B$6:$B$155,A35,'Risk-Control Matrix'!$N$6:$N$155,"Ineffective"))</f>
        <v/>
      </c>
      <c r="H35" s="37" t="str">
        <f>IF(A35="","",COUNTIFS('Risk-Control Matrix'!$B$6:$B$155,A35,'Risk-Control Matrix'!$N$6:$N$155,"Not tested"))</f>
        <v/>
      </c>
      <c r="I35" s="37" t="str">
        <f>IF(A35="","",COUNTIFS('Risk-Control Matrix'!$B$6:$B$155,A35,'Risk-Control Matrix'!$O$6:$O$155,"Overdue"))</f>
        <v/>
      </c>
      <c r="J35" s="37" t="str">
        <f>IF(A35="","",IF(D35=0,Methodology!$A$44,IF(E35=D35,Methodology!$A$41,IF((E35+0.5*F35)/D35&gt;=0.5,Methodology!$A$42,Methodology!$A$43))))</f>
        <v/>
      </c>
      <c r="K35" s="37" t="str">
        <f>IF(A35="","",'Risk Register'!J35&amp;"")</f>
        <v/>
      </c>
      <c r="L35" s="38" t="str">
        <f t="shared" si="0"/>
        <v/>
      </c>
      <c r="M35" s="38" t="str">
        <f t="shared" si="1"/>
        <v/>
      </c>
    </row>
    <row r="36" spans="1:13" x14ac:dyDescent="0.35">
      <c r="A36" s="38" t="str">
        <f>IF('Risk Register'!A36="","",'Risk Register'!A36)</f>
        <v/>
      </c>
      <c r="B36" s="44" t="str">
        <f>IF(A36="","",'Risk Register'!B36)</f>
        <v/>
      </c>
      <c r="C36" s="37" t="str">
        <f>IF(A36="","",'Risk Register'!P36)</f>
        <v/>
      </c>
      <c r="D36" s="37" t="str">
        <f>IF(A36="","",COUNTIF('Risk-Control Matrix'!$B$6:$B$155,A36))</f>
        <v/>
      </c>
      <c r="E36" s="37" t="str">
        <f>IF(A36="","",COUNTIFS('Risk-Control Matrix'!$B$6:$B$155,A36,'Risk-Control Matrix'!$N$6:$N$155,"Effective"))</f>
        <v/>
      </c>
      <c r="F36" s="37" t="str">
        <f>IF(A36="","",COUNTIFS('Risk-Control Matrix'!$B$6:$B$155,A36,'Risk-Control Matrix'!$N$6:$N$155,"Partially effective"))</f>
        <v/>
      </c>
      <c r="G36" s="37" t="str">
        <f>IF(A36="","",COUNTIFS('Risk-Control Matrix'!$B$6:$B$155,A36,'Risk-Control Matrix'!$N$6:$N$155,"Ineffective"))</f>
        <v/>
      </c>
      <c r="H36" s="37" t="str">
        <f>IF(A36="","",COUNTIFS('Risk-Control Matrix'!$B$6:$B$155,A36,'Risk-Control Matrix'!$N$6:$N$155,"Not tested"))</f>
        <v/>
      </c>
      <c r="I36" s="37" t="str">
        <f>IF(A36="","",COUNTIFS('Risk-Control Matrix'!$B$6:$B$155,A36,'Risk-Control Matrix'!$O$6:$O$155,"Overdue"))</f>
        <v/>
      </c>
      <c r="J36" s="37" t="str">
        <f>IF(A36="","",IF(D36=0,Methodology!$A$44,IF(E36=D36,Methodology!$A$41,IF((E36+0.5*F36)/D36&gt;=0.5,Methodology!$A$42,Methodology!$A$43))))</f>
        <v/>
      </c>
      <c r="K36" s="37" t="str">
        <f>IF(A36="","",'Risk Register'!J36&amp;"")</f>
        <v/>
      </c>
      <c r="L36" s="38" t="str">
        <f t="shared" si="0"/>
        <v/>
      </c>
      <c r="M36" s="38" t="str">
        <f t="shared" si="1"/>
        <v/>
      </c>
    </row>
    <row r="37" spans="1:13" x14ac:dyDescent="0.35">
      <c r="A37" s="38" t="str">
        <f>IF('Risk Register'!A37="","",'Risk Register'!A37)</f>
        <v/>
      </c>
      <c r="B37" s="44" t="str">
        <f>IF(A37="","",'Risk Register'!B37)</f>
        <v/>
      </c>
      <c r="C37" s="37" t="str">
        <f>IF(A37="","",'Risk Register'!P37)</f>
        <v/>
      </c>
      <c r="D37" s="37" t="str">
        <f>IF(A37="","",COUNTIF('Risk-Control Matrix'!$B$6:$B$155,A37))</f>
        <v/>
      </c>
      <c r="E37" s="37" t="str">
        <f>IF(A37="","",COUNTIFS('Risk-Control Matrix'!$B$6:$B$155,A37,'Risk-Control Matrix'!$N$6:$N$155,"Effective"))</f>
        <v/>
      </c>
      <c r="F37" s="37" t="str">
        <f>IF(A37="","",COUNTIFS('Risk-Control Matrix'!$B$6:$B$155,A37,'Risk-Control Matrix'!$N$6:$N$155,"Partially effective"))</f>
        <v/>
      </c>
      <c r="G37" s="37" t="str">
        <f>IF(A37="","",COUNTIFS('Risk-Control Matrix'!$B$6:$B$155,A37,'Risk-Control Matrix'!$N$6:$N$155,"Ineffective"))</f>
        <v/>
      </c>
      <c r="H37" s="37" t="str">
        <f>IF(A37="","",COUNTIFS('Risk-Control Matrix'!$B$6:$B$155,A37,'Risk-Control Matrix'!$N$6:$N$155,"Not tested"))</f>
        <v/>
      </c>
      <c r="I37" s="37" t="str">
        <f>IF(A37="","",COUNTIFS('Risk-Control Matrix'!$B$6:$B$155,A37,'Risk-Control Matrix'!$O$6:$O$155,"Overdue"))</f>
        <v/>
      </c>
      <c r="J37" s="37" t="str">
        <f>IF(A37="","",IF(D37=0,Methodology!$A$44,IF(E37=D37,Methodology!$A$41,IF((E37+0.5*F37)/D37&gt;=0.5,Methodology!$A$42,Methodology!$A$43))))</f>
        <v/>
      </c>
      <c r="K37" s="37" t="str">
        <f>IF(A37="","",'Risk Register'!J37&amp;"")</f>
        <v/>
      </c>
      <c r="L37" s="38" t="str">
        <f t="shared" si="0"/>
        <v/>
      </c>
      <c r="M37" s="38" t="str">
        <f t="shared" si="1"/>
        <v/>
      </c>
    </row>
    <row r="38" spans="1:13" x14ac:dyDescent="0.35">
      <c r="A38" s="38" t="str">
        <f>IF('Risk Register'!A38="","",'Risk Register'!A38)</f>
        <v/>
      </c>
      <c r="B38" s="44" t="str">
        <f>IF(A38="","",'Risk Register'!B38)</f>
        <v/>
      </c>
      <c r="C38" s="37" t="str">
        <f>IF(A38="","",'Risk Register'!P38)</f>
        <v/>
      </c>
      <c r="D38" s="37" t="str">
        <f>IF(A38="","",COUNTIF('Risk-Control Matrix'!$B$6:$B$155,A38))</f>
        <v/>
      </c>
      <c r="E38" s="37" t="str">
        <f>IF(A38="","",COUNTIFS('Risk-Control Matrix'!$B$6:$B$155,A38,'Risk-Control Matrix'!$N$6:$N$155,"Effective"))</f>
        <v/>
      </c>
      <c r="F38" s="37" t="str">
        <f>IF(A38="","",COUNTIFS('Risk-Control Matrix'!$B$6:$B$155,A38,'Risk-Control Matrix'!$N$6:$N$155,"Partially effective"))</f>
        <v/>
      </c>
      <c r="G38" s="37" t="str">
        <f>IF(A38="","",COUNTIFS('Risk-Control Matrix'!$B$6:$B$155,A38,'Risk-Control Matrix'!$N$6:$N$155,"Ineffective"))</f>
        <v/>
      </c>
      <c r="H38" s="37" t="str">
        <f>IF(A38="","",COUNTIFS('Risk-Control Matrix'!$B$6:$B$155,A38,'Risk-Control Matrix'!$N$6:$N$155,"Not tested"))</f>
        <v/>
      </c>
      <c r="I38" s="37" t="str">
        <f>IF(A38="","",COUNTIFS('Risk-Control Matrix'!$B$6:$B$155,A38,'Risk-Control Matrix'!$O$6:$O$155,"Overdue"))</f>
        <v/>
      </c>
      <c r="J38" s="37" t="str">
        <f>IF(A38="","",IF(D38=0,Methodology!$A$44,IF(E38=D38,Methodology!$A$41,IF((E38+0.5*F38)/D38&gt;=0.5,Methodology!$A$42,Methodology!$A$43))))</f>
        <v/>
      </c>
      <c r="K38" s="37" t="str">
        <f>IF(A38="","",'Risk Register'!J38&amp;"")</f>
        <v/>
      </c>
      <c r="L38" s="38" t="str">
        <f t="shared" ref="L38:L69" si="2">IF(A38="","",IF(K38="","Not set in register",IF(J38=K38,"Aligned","Review: register says "&amp;K38)))</f>
        <v/>
      </c>
      <c r="M38" s="38" t="str">
        <f t="shared" ref="M38:M69" si="3">IF(A38="","",IF(D38=0,"No controls mapped",IF(E38=0,"No fully effective control",IF(I38&gt;0,"Control testing overdue",""))))</f>
        <v/>
      </c>
    </row>
    <row r="39" spans="1:13" x14ac:dyDescent="0.35">
      <c r="A39" s="38" t="str">
        <f>IF('Risk Register'!A39="","",'Risk Register'!A39)</f>
        <v/>
      </c>
      <c r="B39" s="44" t="str">
        <f>IF(A39="","",'Risk Register'!B39)</f>
        <v/>
      </c>
      <c r="C39" s="37" t="str">
        <f>IF(A39="","",'Risk Register'!P39)</f>
        <v/>
      </c>
      <c r="D39" s="37" t="str">
        <f>IF(A39="","",COUNTIF('Risk-Control Matrix'!$B$6:$B$155,A39))</f>
        <v/>
      </c>
      <c r="E39" s="37" t="str">
        <f>IF(A39="","",COUNTIFS('Risk-Control Matrix'!$B$6:$B$155,A39,'Risk-Control Matrix'!$N$6:$N$155,"Effective"))</f>
        <v/>
      </c>
      <c r="F39" s="37" t="str">
        <f>IF(A39="","",COUNTIFS('Risk-Control Matrix'!$B$6:$B$155,A39,'Risk-Control Matrix'!$N$6:$N$155,"Partially effective"))</f>
        <v/>
      </c>
      <c r="G39" s="37" t="str">
        <f>IF(A39="","",COUNTIFS('Risk-Control Matrix'!$B$6:$B$155,A39,'Risk-Control Matrix'!$N$6:$N$155,"Ineffective"))</f>
        <v/>
      </c>
      <c r="H39" s="37" t="str">
        <f>IF(A39="","",COUNTIFS('Risk-Control Matrix'!$B$6:$B$155,A39,'Risk-Control Matrix'!$N$6:$N$155,"Not tested"))</f>
        <v/>
      </c>
      <c r="I39" s="37" t="str">
        <f>IF(A39="","",COUNTIFS('Risk-Control Matrix'!$B$6:$B$155,A39,'Risk-Control Matrix'!$O$6:$O$155,"Overdue"))</f>
        <v/>
      </c>
      <c r="J39" s="37" t="str">
        <f>IF(A39="","",IF(D39=0,Methodology!$A$44,IF(E39=D39,Methodology!$A$41,IF((E39+0.5*F39)/D39&gt;=0.5,Methodology!$A$42,Methodology!$A$43))))</f>
        <v/>
      </c>
      <c r="K39" s="37" t="str">
        <f>IF(A39="","",'Risk Register'!J39&amp;"")</f>
        <v/>
      </c>
      <c r="L39" s="38" t="str">
        <f t="shared" si="2"/>
        <v/>
      </c>
      <c r="M39" s="38" t="str">
        <f t="shared" si="3"/>
        <v/>
      </c>
    </row>
    <row r="40" spans="1:13" x14ac:dyDescent="0.35">
      <c r="A40" s="38" t="str">
        <f>IF('Risk Register'!A40="","",'Risk Register'!A40)</f>
        <v/>
      </c>
      <c r="B40" s="44" t="str">
        <f>IF(A40="","",'Risk Register'!B40)</f>
        <v/>
      </c>
      <c r="C40" s="37" t="str">
        <f>IF(A40="","",'Risk Register'!P40)</f>
        <v/>
      </c>
      <c r="D40" s="37" t="str">
        <f>IF(A40="","",COUNTIF('Risk-Control Matrix'!$B$6:$B$155,A40))</f>
        <v/>
      </c>
      <c r="E40" s="37" t="str">
        <f>IF(A40="","",COUNTIFS('Risk-Control Matrix'!$B$6:$B$155,A40,'Risk-Control Matrix'!$N$6:$N$155,"Effective"))</f>
        <v/>
      </c>
      <c r="F40" s="37" t="str">
        <f>IF(A40="","",COUNTIFS('Risk-Control Matrix'!$B$6:$B$155,A40,'Risk-Control Matrix'!$N$6:$N$155,"Partially effective"))</f>
        <v/>
      </c>
      <c r="G40" s="37" t="str">
        <f>IF(A40="","",COUNTIFS('Risk-Control Matrix'!$B$6:$B$155,A40,'Risk-Control Matrix'!$N$6:$N$155,"Ineffective"))</f>
        <v/>
      </c>
      <c r="H40" s="37" t="str">
        <f>IF(A40="","",COUNTIFS('Risk-Control Matrix'!$B$6:$B$155,A40,'Risk-Control Matrix'!$N$6:$N$155,"Not tested"))</f>
        <v/>
      </c>
      <c r="I40" s="37" t="str">
        <f>IF(A40="","",COUNTIFS('Risk-Control Matrix'!$B$6:$B$155,A40,'Risk-Control Matrix'!$O$6:$O$155,"Overdue"))</f>
        <v/>
      </c>
      <c r="J40" s="37" t="str">
        <f>IF(A40="","",IF(D40=0,Methodology!$A$44,IF(E40=D40,Methodology!$A$41,IF((E40+0.5*F40)/D40&gt;=0.5,Methodology!$A$42,Methodology!$A$43))))</f>
        <v/>
      </c>
      <c r="K40" s="37" t="str">
        <f>IF(A40="","",'Risk Register'!J40&amp;"")</f>
        <v/>
      </c>
      <c r="L40" s="38" t="str">
        <f t="shared" si="2"/>
        <v/>
      </c>
      <c r="M40" s="38" t="str">
        <f t="shared" si="3"/>
        <v/>
      </c>
    </row>
    <row r="41" spans="1:13" x14ac:dyDescent="0.35">
      <c r="A41" s="38" t="str">
        <f>IF('Risk Register'!A41="","",'Risk Register'!A41)</f>
        <v/>
      </c>
      <c r="B41" s="44" t="str">
        <f>IF(A41="","",'Risk Register'!B41)</f>
        <v/>
      </c>
      <c r="C41" s="37" t="str">
        <f>IF(A41="","",'Risk Register'!P41)</f>
        <v/>
      </c>
      <c r="D41" s="37" t="str">
        <f>IF(A41="","",COUNTIF('Risk-Control Matrix'!$B$6:$B$155,A41))</f>
        <v/>
      </c>
      <c r="E41" s="37" t="str">
        <f>IF(A41="","",COUNTIFS('Risk-Control Matrix'!$B$6:$B$155,A41,'Risk-Control Matrix'!$N$6:$N$155,"Effective"))</f>
        <v/>
      </c>
      <c r="F41" s="37" t="str">
        <f>IF(A41="","",COUNTIFS('Risk-Control Matrix'!$B$6:$B$155,A41,'Risk-Control Matrix'!$N$6:$N$155,"Partially effective"))</f>
        <v/>
      </c>
      <c r="G41" s="37" t="str">
        <f>IF(A41="","",COUNTIFS('Risk-Control Matrix'!$B$6:$B$155,A41,'Risk-Control Matrix'!$N$6:$N$155,"Ineffective"))</f>
        <v/>
      </c>
      <c r="H41" s="37" t="str">
        <f>IF(A41="","",COUNTIFS('Risk-Control Matrix'!$B$6:$B$155,A41,'Risk-Control Matrix'!$N$6:$N$155,"Not tested"))</f>
        <v/>
      </c>
      <c r="I41" s="37" t="str">
        <f>IF(A41="","",COUNTIFS('Risk-Control Matrix'!$B$6:$B$155,A41,'Risk-Control Matrix'!$O$6:$O$155,"Overdue"))</f>
        <v/>
      </c>
      <c r="J41" s="37" t="str">
        <f>IF(A41="","",IF(D41=0,Methodology!$A$44,IF(E41=D41,Methodology!$A$41,IF((E41+0.5*F41)/D41&gt;=0.5,Methodology!$A$42,Methodology!$A$43))))</f>
        <v/>
      </c>
      <c r="K41" s="37" t="str">
        <f>IF(A41="","",'Risk Register'!J41&amp;"")</f>
        <v/>
      </c>
      <c r="L41" s="38" t="str">
        <f t="shared" si="2"/>
        <v/>
      </c>
      <c r="M41" s="38" t="str">
        <f t="shared" si="3"/>
        <v/>
      </c>
    </row>
    <row r="42" spans="1:13" x14ac:dyDescent="0.35">
      <c r="A42" s="38" t="str">
        <f>IF('Risk Register'!A42="","",'Risk Register'!A42)</f>
        <v/>
      </c>
      <c r="B42" s="44" t="str">
        <f>IF(A42="","",'Risk Register'!B42)</f>
        <v/>
      </c>
      <c r="C42" s="37" t="str">
        <f>IF(A42="","",'Risk Register'!P42)</f>
        <v/>
      </c>
      <c r="D42" s="37" t="str">
        <f>IF(A42="","",COUNTIF('Risk-Control Matrix'!$B$6:$B$155,A42))</f>
        <v/>
      </c>
      <c r="E42" s="37" t="str">
        <f>IF(A42="","",COUNTIFS('Risk-Control Matrix'!$B$6:$B$155,A42,'Risk-Control Matrix'!$N$6:$N$155,"Effective"))</f>
        <v/>
      </c>
      <c r="F42" s="37" t="str">
        <f>IF(A42="","",COUNTIFS('Risk-Control Matrix'!$B$6:$B$155,A42,'Risk-Control Matrix'!$N$6:$N$155,"Partially effective"))</f>
        <v/>
      </c>
      <c r="G42" s="37" t="str">
        <f>IF(A42="","",COUNTIFS('Risk-Control Matrix'!$B$6:$B$155,A42,'Risk-Control Matrix'!$N$6:$N$155,"Ineffective"))</f>
        <v/>
      </c>
      <c r="H42" s="37" t="str">
        <f>IF(A42="","",COUNTIFS('Risk-Control Matrix'!$B$6:$B$155,A42,'Risk-Control Matrix'!$N$6:$N$155,"Not tested"))</f>
        <v/>
      </c>
      <c r="I42" s="37" t="str">
        <f>IF(A42="","",COUNTIFS('Risk-Control Matrix'!$B$6:$B$155,A42,'Risk-Control Matrix'!$O$6:$O$155,"Overdue"))</f>
        <v/>
      </c>
      <c r="J42" s="37" t="str">
        <f>IF(A42="","",IF(D42=0,Methodology!$A$44,IF(E42=D42,Methodology!$A$41,IF((E42+0.5*F42)/D42&gt;=0.5,Methodology!$A$42,Methodology!$A$43))))</f>
        <v/>
      </c>
      <c r="K42" s="37" t="str">
        <f>IF(A42="","",'Risk Register'!J42&amp;"")</f>
        <v/>
      </c>
      <c r="L42" s="38" t="str">
        <f t="shared" si="2"/>
        <v/>
      </c>
      <c r="M42" s="38" t="str">
        <f t="shared" si="3"/>
        <v/>
      </c>
    </row>
    <row r="43" spans="1:13" x14ac:dyDescent="0.35">
      <c r="A43" s="38" t="str">
        <f>IF('Risk Register'!A43="","",'Risk Register'!A43)</f>
        <v/>
      </c>
      <c r="B43" s="44" t="str">
        <f>IF(A43="","",'Risk Register'!B43)</f>
        <v/>
      </c>
      <c r="C43" s="37" t="str">
        <f>IF(A43="","",'Risk Register'!P43)</f>
        <v/>
      </c>
      <c r="D43" s="37" t="str">
        <f>IF(A43="","",COUNTIF('Risk-Control Matrix'!$B$6:$B$155,A43))</f>
        <v/>
      </c>
      <c r="E43" s="37" t="str">
        <f>IF(A43="","",COUNTIFS('Risk-Control Matrix'!$B$6:$B$155,A43,'Risk-Control Matrix'!$N$6:$N$155,"Effective"))</f>
        <v/>
      </c>
      <c r="F43" s="37" t="str">
        <f>IF(A43="","",COUNTIFS('Risk-Control Matrix'!$B$6:$B$155,A43,'Risk-Control Matrix'!$N$6:$N$155,"Partially effective"))</f>
        <v/>
      </c>
      <c r="G43" s="37" t="str">
        <f>IF(A43="","",COUNTIFS('Risk-Control Matrix'!$B$6:$B$155,A43,'Risk-Control Matrix'!$N$6:$N$155,"Ineffective"))</f>
        <v/>
      </c>
      <c r="H43" s="37" t="str">
        <f>IF(A43="","",COUNTIFS('Risk-Control Matrix'!$B$6:$B$155,A43,'Risk-Control Matrix'!$N$6:$N$155,"Not tested"))</f>
        <v/>
      </c>
      <c r="I43" s="37" t="str">
        <f>IF(A43="","",COUNTIFS('Risk-Control Matrix'!$B$6:$B$155,A43,'Risk-Control Matrix'!$O$6:$O$155,"Overdue"))</f>
        <v/>
      </c>
      <c r="J43" s="37" t="str">
        <f>IF(A43="","",IF(D43=0,Methodology!$A$44,IF(E43=D43,Methodology!$A$41,IF((E43+0.5*F43)/D43&gt;=0.5,Methodology!$A$42,Methodology!$A$43))))</f>
        <v/>
      </c>
      <c r="K43" s="37" t="str">
        <f>IF(A43="","",'Risk Register'!J43&amp;"")</f>
        <v/>
      </c>
      <c r="L43" s="38" t="str">
        <f t="shared" si="2"/>
        <v/>
      </c>
      <c r="M43" s="38" t="str">
        <f t="shared" si="3"/>
        <v/>
      </c>
    </row>
    <row r="44" spans="1:13" x14ac:dyDescent="0.35">
      <c r="A44" s="38" t="str">
        <f>IF('Risk Register'!A44="","",'Risk Register'!A44)</f>
        <v/>
      </c>
      <c r="B44" s="44" t="str">
        <f>IF(A44="","",'Risk Register'!B44)</f>
        <v/>
      </c>
      <c r="C44" s="37" t="str">
        <f>IF(A44="","",'Risk Register'!P44)</f>
        <v/>
      </c>
      <c r="D44" s="37" t="str">
        <f>IF(A44="","",COUNTIF('Risk-Control Matrix'!$B$6:$B$155,A44))</f>
        <v/>
      </c>
      <c r="E44" s="37" t="str">
        <f>IF(A44="","",COUNTIFS('Risk-Control Matrix'!$B$6:$B$155,A44,'Risk-Control Matrix'!$N$6:$N$155,"Effective"))</f>
        <v/>
      </c>
      <c r="F44" s="37" t="str">
        <f>IF(A44="","",COUNTIFS('Risk-Control Matrix'!$B$6:$B$155,A44,'Risk-Control Matrix'!$N$6:$N$155,"Partially effective"))</f>
        <v/>
      </c>
      <c r="G44" s="37" t="str">
        <f>IF(A44="","",COUNTIFS('Risk-Control Matrix'!$B$6:$B$155,A44,'Risk-Control Matrix'!$N$6:$N$155,"Ineffective"))</f>
        <v/>
      </c>
      <c r="H44" s="37" t="str">
        <f>IF(A44="","",COUNTIFS('Risk-Control Matrix'!$B$6:$B$155,A44,'Risk-Control Matrix'!$N$6:$N$155,"Not tested"))</f>
        <v/>
      </c>
      <c r="I44" s="37" t="str">
        <f>IF(A44="","",COUNTIFS('Risk-Control Matrix'!$B$6:$B$155,A44,'Risk-Control Matrix'!$O$6:$O$155,"Overdue"))</f>
        <v/>
      </c>
      <c r="J44" s="37" t="str">
        <f>IF(A44="","",IF(D44=0,Methodology!$A$44,IF(E44=D44,Methodology!$A$41,IF((E44+0.5*F44)/D44&gt;=0.5,Methodology!$A$42,Methodology!$A$43))))</f>
        <v/>
      </c>
      <c r="K44" s="37" t="str">
        <f>IF(A44="","",'Risk Register'!J44&amp;"")</f>
        <v/>
      </c>
      <c r="L44" s="38" t="str">
        <f t="shared" si="2"/>
        <v/>
      </c>
      <c r="M44" s="38" t="str">
        <f t="shared" si="3"/>
        <v/>
      </c>
    </row>
    <row r="45" spans="1:13" x14ac:dyDescent="0.35">
      <c r="A45" s="38" t="str">
        <f>IF('Risk Register'!A45="","",'Risk Register'!A45)</f>
        <v/>
      </c>
      <c r="B45" s="44" t="str">
        <f>IF(A45="","",'Risk Register'!B45)</f>
        <v/>
      </c>
      <c r="C45" s="37" t="str">
        <f>IF(A45="","",'Risk Register'!P45)</f>
        <v/>
      </c>
      <c r="D45" s="37" t="str">
        <f>IF(A45="","",COUNTIF('Risk-Control Matrix'!$B$6:$B$155,A45))</f>
        <v/>
      </c>
      <c r="E45" s="37" t="str">
        <f>IF(A45="","",COUNTIFS('Risk-Control Matrix'!$B$6:$B$155,A45,'Risk-Control Matrix'!$N$6:$N$155,"Effective"))</f>
        <v/>
      </c>
      <c r="F45" s="37" t="str">
        <f>IF(A45="","",COUNTIFS('Risk-Control Matrix'!$B$6:$B$155,A45,'Risk-Control Matrix'!$N$6:$N$155,"Partially effective"))</f>
        <v/>
      </c>
      <c r="G45" s="37" t="str">
        <f>IF(A45="","",COUNTIFS('Risk-Control Matrix'!$B$6:$B$155,A45,'Risk-Control Matrix'!$N$6:$N$155,"Ineffective"))</f>
        <v/>
      </c>
      <c r="H45" s="37" t="str">
        <f>IF(A45="","",COUNTIFS('Risk-Control Matrix'!$B$6:$B$155,A45,'Risk-Control Matrix'!$N$6:$N$155,"Not tested"))</f>
        <v/>
      </c>
      <c r="I45" s="37" t="str">
        <f>IF(A45="","",COUNTIFS('Risk-Control Matrix'!$B$6:$B$155,A45,'Risk-Control Matrix'!$O$6:$O$155,"Overdue"))</f>
        <v/>
      </c>
      <c r="J45" s="37" t="str">
        <f>IF(A45="","",IF(D45=0,Methodology!$A$44,IF(E45=D45,Methodology!$A$41,IF((E45+0.5*F45)/D45&gt;=0.5,Methodology!$A$42,Methodology!$A$43))))</f>
        <v/>
      </c>
      <c r="K45" s="37" t="str">
        <f>IF(A45="","",'Risk Register'!J45&amp;"")</f>
        <v/>
      </c>
      <c r="L45" s="38" t="str">
        <f t="shared" si="2"/>
        <v/>
      </c>
      <c r="M45" s="38" t="str">
        <f t="shared" si="3"/>
        <v/>
      </c>
    </row>
    <row r="46" spans="1:13" x14ac:dyDescent="0.35">
      <c r="A46" s="38" t="str">
        <f>IF('Risk Register'!A46="","",'Risk Register'!A46)</f>
        <v/>
      </c>
      <c r="B46" s="44" t="str">
        <f>IF(A46="","",'Risk Register'!B46)</f>
        <v/>
      </c>
      <c r="C46" s="37" t="str">
        <f>IF(A46="","",'Risk Register'!P46)</f>
        <v/>
      </c>
      <c r="D46" s="37" t="str">
        <f>IF(A46="","",COUNTIF('Risk-Control Matrix'!$B$6:$B$155,A46))</f>
        <v/>
      </c>
      <c r="E46" s="37" t="str">
        <f>IF(A46="","",COUNTIFS('Risk-Control Matrix'!$B$6:$B$155,A46,'Risk-Control Matrix'!$N$6:$N$155,"Effective"))</f>
        <v/>
      </c>
      <c r="F46" s="37" t="str">
        <f>IF(A46="","",COUNTIFS('Risk-Control Matrix'!$B$6:$B$155,A46,'Risk-Control Matrix'!$N$6:$N$155,"Partially effective"))</f>
        <v/>
      </c>
      <c r="G46" s="37" t="str">
        <f>IF(A46="","",COUNTIFS('Risk-Control Matrix'!$B$6:$B$155,A46,'Risk-Control Matrix'!$N$6:$N$155,"Ineffective"))</f>
        <v/>
      </c>
      <c r="H46" s="37" t="str">
        <f>IF(A46="","",COUNTIFS('Risk-Control Matrix'!$B$6:$B$155,A46,'Risk-Control Matrix'!$N$6:$N$155,"Not tested"))</f>
        <v/>
      </c>
      <c r="I46" s="37" t="str">
        <f>IF(A46="","",COUNTIFS('Risk-Control Matrix'!$B$6:$B$155,A46,'Risk-Control Matrix'!$O$6:$O$155,"Overdue"))</f>
        <v/>
      </c>
      <c r="J46" s="37" t="str">
        <f>IF(A46="","",IF(D46=0,Methodology!$A$44,IF(E46=D46,Methodology!$A$41,IF((E46+0.5*F46)/D46&gt;=0.5,Methodology!$A$42,Methodology!$A$43))))</f>
        <v/>
      </c>
      <c r="K46" s="37" t="str">
        <f>IF(A46="","",'Risk Register'!J46&amp;"")</f>
        <v/>
      </c>
      <c r="L46" s="38" t="str">
        <f t="shared" si="2"/>
        <v/>
      </c>
      <c r="M46" s="38" t="str">
        <f t="shared" si="3"/>
        <v/>
      </c>
    </row>
    <row r="47" spans="1:13" x14ac:dyDescent="0.35">
      <c r="A47" s="38" t="str">
        <f>IF('Risk Register'!A47="","",'Risk Register'!A47)</f>
        <v/>
      </c>
      <c r="B47" s="44" t="str">
        <f>IF(A47="","",'Risk Register'!B47)</f>
        <v/>
      </c>
      <c r="C47" s="37" t="str">
        <f>IF(A47="","",'Risk Register'!P47)</f>
        <v/>
      </c>
      <c r="D47" s="37" t="str">
        <f>IF(A47="","",COUNTIF('Risk-Control Matrix'!$B$6:$B$155,A47))</f>
        <v/>
      </c>
      <c r="E47" s="37" t="str">
        <f>IF(A47="","",COUNTIFS('Risk-Control Matrix'!$B$6:$B$155,A47,'Risk-Control Matrix'!$N$6:$N$155,"Effective"))</f>
        <v/>
      </c>
      <c r="F47" s="37" t="str">
        <f>IF(A47="","",COUNTIFS('Risk-Control Matrix'!$B$6:$B$155,A47,'Risk-Control Matrix'!$N$6:$N$155,"Partially effective"))</f>
        <v/>
      </c>
      <c r="G47" s="37" t="str">
        <f>IF(A47="","",COUNTIFS('Risk-Control Matrix'!$B$6:$B$155,A47,'Risk-Control Matrix'!$N$6:$N$155,"Ineffective"))</f>
        <v/>
      </c>
      <c r="H47" s="37" t="str">
        <f>IF(A47="","",COUNTIFS('Risk-Control Matrix'!$B$6:$B$155,A47,'Risk-Control Matrix'!$N$6:$N$155,"Not tested"))</f>
        <v/>
      </c>
      <c r="I47" s="37" t="str">
        <f>IF(A47="","",COUNTIFS('Risk-Control Matrix'!$B$6:$B$155,A47,'Risk-Control Matrix'!$O$6:$O$155,"Overdue"))</f>
        <v/>
      </c>
      <c r="J47" s="37" t="str">
        <f>IF(A47="","",IF(D47=0,Methodology!$A$44,IF(E47=D47,Methodology!$A$41,IF((E47+0.5*F47)/D47&gt;=0.5,Methodology!$A$42,Methodology!$A$43))))</f>
        <v/>
      </c>
      <c r="K47" s="37" t="str">
        <f>IF(A47="","",'Risk Register'!J47&amp;"")</f>
        <v/>
      </c>
      <c r="L47" s="38" t="str">
        <f t="shared" si="2"/>
        <v/>
      </c>
      <c r="M47" s="38" t="str">
        <f t="shared" si="3"/>
        <v/>
      </c>
    </row>
    <row r="48" spans="1:13" x14ac:dyDescent="0.35">
      <c r="A48" s="38" t="str">
        <f>IF('Risk Register'!A48="","",'Risk Register'!A48)</f>
        <v/>
      </c>
      <c r="B48" s="44" t="str">
        <f>IF(A48="","",'Risk Register'!B48)</f>
        <v/>
      </c>
      <c r="C48" s="37" t="str">
        <f>IF(A48="","",'Risk Register'!P48)</f>
        <v/>
      </c>
      <c r="D48" s="37" t="str">
        <f>IF(A48="","",COUNTIF('Risk-Control Matrix'!$B$6:$B$155,A48))</f>
        <v/>
      </c>
      <c r="E48" s="37" t="str">
        <f>IF(A48="","",COUNTIFS('Risk-Control Matrix'!$B$6:$B$155,A48,'Risk-Control Matrix'!$N$6:$N$155,"Effective"))</f>
        <v/>
      </c>
      <c r="F48" s="37" t="str">
        <f>IF(A48="","",COUNTIFS('Risk-Control Matrix'!$B$6:$B$155,A48,'Risk-Control Matrix'!$N$6:$N$155,"Partially effective"))</f>
        <v/>
      </c>
      <c r="G48" s="37" t="str">
        <f>IF(A48="","",COUNTIFS('Risk-Control Matrix'!$B$6:$B$155,A48,'Risk-Control Matrix'!$N$6:$N$155,"Ineffective"))</f>
        <v/>
      </c>
      <c r="H48" s="37" t="str">
        <f>IF(A48="","",COUNTIFS('Risk-Control Matrix'!$B$6:$B$155,A48,'Risk-Control Matrix'!$N$6:$N$155,"Not tested"))</f>
        <v/>
      </c>
      <c r="I48" s="37" t="str">
        <f>IF(A48="","",COUNTIFS('Risk-Control Matrix'!$B$6:$B$155,A48,'Risk-Control Matrix'!$O$6:$O$155,"Overdue"))</f>
        <v/>
      </c>
      <c r="J48" s="37" t="str">
        <f>IF(A48="","",IF(D48=0,Methodology!$A$44,IF(E48=D48,Methodology!$A$41,IF((E48+0.5*F48)/D48&gt;=0.5,Methodology!$A$42,Methodology!$A$43))))</f>
        <v/>
      </c>
      <c r="K48" s="37" t="str">
        <f>IF(A48="","",'Risk Register'!J48&amp;"")</f>
        <v/>
      </c>
      <c r="L48" s="38" t="str">
        <f t="shared" si="2"/>
        <v/>
      </c>
      <c r="M48" s="38" t="str">
        <f t="shared" si="3"/>
        <v/>
      </c>
    </row>
    <row r="49" spans="1:13" x14ac:dyDescent="0.35">
      <c r="A49" s="38" t="str">
        <f>IF('Risk Register'!A49="","",'Risk Register'!A49)</f>
        <v/>
      </c>
      <c r="B49" s="44" t="str">
        <f>IF(A49="","",'Risk Register'!B49)</f>
        <v/>
      </c>
      <c r="C49" s="37" t="str">
        <f>IF(A49="","",'Risk Register'!P49)</f>
        <v/>
      </c>
      <c r="D49" s="37" t="str">
        <f>IF(A49="","",COUNTIF('Risk-Control Matrix'!$B$6:$B$155,A49))</f>
        <v/>
      </c>
      <c r="E49" s="37" t="str">
        <f>IF(A49="","",COUNTIFS('Risk-Control Matrix'!$B$6:$B$155,A49,'Risk-Control Matrix'!$N$6:$N$155,"Effective"))</f>
        <v/>
      </c>
      <c r="F49" s="37" t="str">
        <f>IF(A49="","",COUNTIFS('Risk-Control Matrix'!$B$6:$B$155,A49,'Risk-Control Matrix'!$N$6:$N$155,"Partially effective"))</f>
        <v/>
      </c>
      <c r="G49" s="37" t="str">
        <f>IF(A49="","",COUNTIFS('Risk-Control Matrix'!$B$6:$B$155,A49,'Risk-Control Matrix'!$N$6:$N$155,"Ineffective"))</f>
        <v/>
      </c>
      <c r="H49" s="37" t="str">
        <f>IF(A49="","",COUNTIFS('Risk-Control Matrix'!$B$6:$B$155,A49,'Risk-Control Matrix'!$N$6:$N$155,"Not tested"))</f>
        <v/>
      </c>
      <c r="I49" s="37" t="str">
        <f>IF(A49="","",COUNTIFS('Risk-Control Matrix'!$B$6:$B$155,A49,'Risk-Control Matrix'!$O$6:$O$155,"Overdue"))</f>
        <v/>
      </c>
      <c r="J49" s="37" t="str">
        <f>IF(A49="","",IF(D49=0,Methodology!$A$44,IF(E49=D49,Methodology!$A$41,IF((E49+0.5*F49)/D49&gt;=0.5,Methodology!$A$42,Methodology!$A$43))))</f>
        <v/>
      </c>
      <c r="K49" s="37" t="str">
        <f>IF(A49="","",'Risk Register'!J49&amp;"")</f>
        <v/>
      </c>
      <c r="L49" s="38" t="str">
        <f t="shared" si="2"/>
        <v/>
      </c>
      <c r="M49" s="38" t="str">
        <f t="shared" si="3"/>
        <v/>
      </c>
    </row>
    <row r="50" spans="1:13" x14ac:dyDescent="0.35">
      <c r="A50" s="38" t="str">
        <f>IF('Risk Register'!A50="","",'Risk Register'!A50)</f>
        <v/>
      </c>
      <c r="B50" s="44" t="str">
        <f>IF(A50="","",'Risk Register'!B50)</f>
        <v/>
      </c>
      <c r="C50" s="37" t="str">
        <f>IF(A50="","",'Risk Register'!P50)</f>
        <v/>
      </c>
      <c r="D50" s="37" t="str">
        <f>IF(A50="","",COUNTIF('Risk-Control Matrix'!$B$6:$B$155,A50))</f>
        <v/>
      </c>
      <c r="E50" s="37" t="str">
        <f>IF(A50="","",COUNTIFS('Risk-Control Matrix'!$B$6:$B$155,A50,'Risk-Control Matrix'!$N$6:$N$155,"Effective"))</f>
        <v/>
      </c>
      <c r="F50" s="37" t="str">
        <f>IF(A50="","",COUNTIFS('Risk-Control Matrix'!$B$6:$B$155,A50,'Risk-Control Matrix'!$N$6:$N$155,"Partially effective"))</f>
        <v/>
      </c>
      <c r="G50" s="37" t="str">
        <f>IF(A50="","",COUNTIFS('Risk-Control Matrix'!$B$6:$B$155,A50,'Risk-Control Matrix'!$N$6:$N$155,"Ineffective"))</f>
        <v/>
      </c>
      <c r="H50" s="37" t="str">
        <f>IF(A50="","",COUNTIFS('Risk-Control Matrix'!$B$6:$B$155,A50,'Risk-Control Matrix'!$N$6:$N$155,"Not tested"))</f>
        <v/>
      </c>
      <c r="I50" s="37" t="str">
        <f>IF(A50="","",COUNTIFS('Risk-Control Matrix'!$B$6:$B$155,A50,'Risk-Control Matrix'!$O$6:$O$155,"Overdue"))</f>
        <v/>
      </c>
      <c r="J50" s="37" t="str">
        <f>IF(A50="","",IF(D50=0,Methodology!$A$44,IF(E50=D50,Methodology!$A$41,IF((E50+0.5*F50)/D50&gt;=0.5,Methodology!$A$42,Methodology!$A$43))))</f>
        <v/>
      </c>
      <c r="K50" s="37" t="str">
        <f>IF(A50="","",'Risk Register'!J50&amp;"")</f>
        <v/>
      </c>
      <c r="L50" s="38" t="str">
        <f t="shared" si="2"/>
        <v/>
      </c>
      <c r="M50" s="38" t="str">
        <f t="shared" si="3"/>
        <v/>
      </c>
    </row>
    <row r="51" spans="1:13" x14ac:dyDescent="0.35">
      <c r="A51" s="38" t="str">
        <f>IF('Risk Register'!A51="","",'Risk Register'!A51)</f>
        <v/>
      </c>
      <c r="B51" s="44" t="str">
        <f>IF(A51="","",'Risk Register'!B51)</f>
        <v/>
      </c>
      <c r="C51" s="37" t="str">
        <f>IF(A51="","",'Risk Register'!P51)</f>
        <v/>
      </c>
      <c r="D51" s="37" t="str">
        <f>IF(A51="","",COUNTIF('Risk-Control Matrix'!$B$6:$B$155,A51))</f>
        <v/>
      </c>
      <c r="E51" s="37" t="str">
        <f>IF(A51="","",COUNTIFS('Risk-Control Matrix'!$B$6:$B$155,A51,'Risk-Control Matrix'!$N$6:$N$155,"Effective"))</f>
        <v/>
      </c>
      <c r="F51" s="37" t="str">
        <f>IF(A51="","",COUNTIFS('Risk-Control Matrix'!$B$6:$B$155,A51,'Risk-Control Matrix'!$N$6:$N$155,"Partially effective"))</f>
        <v/>
      </c>
      <c r="G51" s="37" t="str">
        <f>IF(A51="","",COUNTIFS('Risk-Control Matrix'!$B$6:$B$155,A51,'Risk-Control Matrix'!$N$6:$N$155,"Ineffective"))</f>
        <v/>
      </c>
      <c r="H51" s="37" t="str">
        <f>IF(A51="","",COUNTIFS('Risk-Control Matrix'!$B$6:$B$155,A51,'Risk-Control Matrix'!$N$6:$N$155,"Not tested"))</f>
        <v/>
      </c>
      <c r="I51" s="37" t="str">
        <f>IF(A51="","",COUNTIFS('Risk-Control Matrix'!$B$6:$B$155,A51,'Risk-Control Matrix'!$O$6:$O$155,"Overdue"))</f>
        <v/>
      </c>
      <c r="J51" s="37" t="str">
        <f>IF(A51="","",IF(D51=0,Methodology!$A$44,IF(E51=D51,Methodology!$A$41,IF((E51+0.5*F51)/D51&gt;=0.5,Methodology!$A$42,Methodology!$A$43))))</f>
        <v/>
      </c>
      <c r="K51" s="37" t="str">
        <f>IF(A51="","",'Risk Register'!J51&amp;"")</f>
        <v/>
      </c>
      <c r="L51" s="38" t="str">
        <f t="shared" si="2"/>
        <v/>
      </c>
      <c r="M51" s="38" t="str">
        <f t="shared" si="3"/>
        <v/>
      </c>
    </row>
    <row r="52" spans="1:13" x14ac:dyDescent="0.35">
      <c r="A52" s="38" t="str">
        <f>IF('Risk Register'!A52="","",'Risk Register'!A52)</f>
        <v/>
      </c>
      <c r="B52" s="44" t="str">
        <f>IF(A52="","",'Risk Register'!B52)</f>
        <v/>
      </c>
      <c r="C52" s="37" t="str">
        <f>IF(A52="","",'Risk Register'!P52)</f>
        <v/>
      </c>
      <c r="D52" s="37" t="str">
        <f>IF(A52="","",COUNTIF('Risk-Control Matrix'!$B$6:$B$155,A52))</f>
        <v/>
      </c>
      <c r="E52" s="37" t="str">
        <f>IF(A52="","",COUNTIFS('Risk-Control Matrix'!$B$6:$B$155,A52,'Risk-Control Matrix'!$N$6:$N$155,"Effective"))</f>
        <v/>
      </c>
      <c r="F52" s="37" t="str">
        <f>IF(A52="","",COUNTIFS('Risk-Control Matrix'!$B$6:$B$155,A52,'Risk-Control Matrix'!$N$6:$N$155,"Partially effective"))</f>
        <v/>
      </c>
      <c r="G52" s="37" t="str">
        <f>IF(A52="","",COUNTIFS('Risk-Control Matrix'!$B$6:$B$155,A52,'Risk-Control Matrix'!$N$6:$N$155,"Ineffective"))</f>
        <v/>
      </c>
      <c r="H52" s="37" t="str">
        <f>IF(A52="","",COUNTIFS('Risk-Control Matrix'!$B$6:$B$155,A52,'Risk-Control Matrix'!$N$6:$N$155,"Not tested"))</f>
        <v/>
      </c>
      <c r="I52" s="37" t="str">
        <f>IF(A52="","",COUNTIFS('Risk-Control Matrix'!$B$6:$B$155,A52,'Risk-Control Matrix'!$O$6:$O$155,"Overdue"))</f>
        <v/>
      </c>
      <c r="J52" s="37" t="str">
        <f>IF(A52="","",IF(D52=0,Methodology!$A$44,IF(E52=D52,Methodology!$A$41,IF((E52+0.5*F52)/D52&gt;=0.5,Methodology!$A$42,Methodology!$A$43))))</f>
        <v/>
      </c>
      <c r="K52" s="37" t="str">
        <f>IF(A52="","",'Risk Register'!J52&amp;"")</f>
        <v/>
      </c>
      <c r="L52" s="38" t="str">
        <f t="shared" si="2"/>
        <v/>
      </c>
      <c r="M52" s="38" t="str">
        <f t="shared" si="3"/>
        <v/>
      </c>
    </row>
    <row r="53" spans="1:13" x14ac:dyDescent="0.35">
      <c r="A53" s="38" t="str">
        <f>IF('Risk Register'!A53="","",'Risk Register'!A53)</f>
        <v/>
      </c>
      <c r="B53" s="44" t="str">
        <f>IF(A53="","",'Risk Register'!B53)</f>
        <v/>
      </c>
      <c r="C53" s="37" t="str">
        <f>IF(A53="","",'Risk Register'!P53)</f>
        <v/>
      </c>
      <c r="D53" s="37" t="str">
        <f>IF(A53="","",COUNTIF('Risk-Control Matrix'!$B$6:$B$155,A53))</f>
        <v/>
      </c>
      <c r="E53" s="37" t="str">
        <f>IF(A53="","",COUNTIFS('Risk-Control Matrix'!$B$6:$B$155,A53,'Risk-Control Matrix'!$N$6:$N$155,"Effective"))</f>
        <v/>
      </c>
      <c r="F53" s="37" t="str">
        <f>IF(A53="","",COUNTIFS('Risk-Control Matrix'!$B$6:$B$155,A53,'Risk-Control Matrix'!$N$6:$N$155,"Partially effective"))</f>
        <v/>
      </c>
      <c r="G53" s="37" t="str">
        <f>IF(A53="","",COUNTIFS('Risk-Control Matrix'!$B$6:$B$155,A53,'Risk-Control Matrix'!$N$6:$N$155,"Ineffective"))</f>
        <v/>
      </c>
      <c r="H53" s="37" t="str">
        <f>IF(A53="","",COUNTIFS('Risk-Control Matrix'!$B$6:$B$155,A53,'Risk-Control Matrix'!$N$6:$N$155,"Not tested"))</f>
        <v/>
      </c>
      <c r="I53" s="37" t="str">
        <f>IF(A53="","",COUNTIFS('Risk-Control Matrix'!$B$6:$B$155,A53,'Risk-Control Matrix'!$O$6:$O$155,"Overdue"))</f>
        <v/>
      </c>
      <c r="J53" s="37" t="str">
        <f>IF(A53="","",IF(D53=0,Methodology!$A$44,IF(E53=D53,Methodology!$A$41,IF((E53+0.5*F53)/D53&gt;=0.5,Methodology!$A$42,Methodology!$A$43))))</f>
        <v/>
      </c>
      <c r="K53" s="37" t="str">
        <f>IF(A53="","",'Risk Register'!J53&amp;"")</f>
        <v/>
      </c>
      <c r="L53" s="38" t="str">
        <f t="shared" si="2"/>
        <v/>
      </c>
      <c r="M53" s="38" t="str">
        <f t="shared" si="3"/>
        <v/>
      </c>
    </row>
    <row r="54" spans="1:13" x14ac:dyDescent="0.35">
      <c r="A54" s="38" t="str">
        <f>IF('Risk Register'!A54="","",'Risk Register'!A54)</f>
        <v/>
      </c>
      <c r="B54" s="44" t="str">
        <f>IF(A54="","",'Risk Register'!B54)</f>
        <v/>
      </c>
      <c r="C54" s="37" t="str">
        <f>IF(A54="","",'Risk Register'!P54)</f>
        <v/>
      </c>
      <c r="D54" s="37" t="str">
        <f>IF(A54="","",COUNTIF('Risk-Control Matrix'!$B$6:$B$155,A54))</f>
        <v/>
      </c>
      <c r="E54" s="37" t="str">
        <f>IF(A54="","",COUNTIFS('Risk-Control Matrix'!$B$6:$B$155,A54,'Risk-Control Matrix'!$N$6:$N$155,"Effective"))</f>
        <v/>
      </c>
      <c r="F54" s="37" t="str">
        <f>IF(A54="","",COUNTIFS('Risk-Control Matrix'!$B$6:$B$155,A54,'Risk-Control Matrix'!$N$6:$N$155,"Partially effective"))</f>
        <v/>
      </c>
      <c r="G54" s="37" t="str">
        <f>IF(A54="","",COUNTIFS('Risk-Control Matrix'!$B$6:$B$155,A54,'Risk-Control Matrix'!$N$6:$N$155,"Ineffective"))</f>
        <v/>
      </c>
      <c r="H54" s="37" t="str">
        <f>IF(A54="","",COUNTIFS('Risk-Control Matrix'!$B$6:$B$155,A54,'Risk-Control Matrix'!$N$6:$N$155,"Not tested"))</f>
        <v/>
      </c>
      <c r="I54" s="37" t="str">
        <f>IF(A54="","",COUNTIFS('Risk-Control Matrix'!$B$6:$B$155,A54,'Risk-Control Matrix'!$O$6:$O$155,"Overdue"))</f>
        <v/>
      </c>
      <c r="J54" s="37" t="str">
        <f>IF(A54="","",IF(D54=0,Methodology!$A$44,IF(E54=D54,Methodology!$A$41,IF((E54+0.5*F54)/D54&gt;=0.5,Methodology!$A$42,Methodology!$A$43))))</f>
        <v/>
      </c>
      <c r="K54" s="37" t="str">
        <f>IF(A54="","",'Risk Register'!J54&amp;"")</f>
        <v/>
      </c>
      <c r="L54" s="38" t="str">
        <f t="shared" si="2"/>
        <v/>
      </c>
      <c r="M54" s="38" t="str">
        <f t="shared" si="3"/>
        <v/>
      </c>
    </row>
    <row r="55" spans="1:13" x14ac:dyDescent="0.35">
      <c r="A55" s="38" t="str">
        <f>IF('Risk Register'!A55="","",'Risk Register'!A55)</f>
        <v/>
      </c>
      <c r="B55" s="44" t="str">
        <f>IF(A55="","",'Risk Register'!B55)</f>
        <v/>
      </c>
      <c r="C55" s="37" t="str">
        <f>IF(A55="","",'Risk Register'!P55)</f>
        <v/>
      </c>
      <c r="D55" s="37" t="str">
        <f>IF(A55="","",COUNTIF('Risk-Control Matrix'!$B$6:$B$155,A55))</f>
        <v/>
      </c>
      <c r="E55" s="37" t="str">
        <f>IF(A55="","",COUNTIFS('Risk-Control Matrix'!$B$6:$B$155,A55,'Risk-Control Matrix'!$N$6:$N$155,"Effective"))</f>
        <v/>
      </c>
      <c r="F55" s="37" t="str">
        <f>IF(A55="","",COUNTIFS('Risk-Control Matrix'!$B$6:$B$155,A55,'Risk-Control Matrix'!$N$6:$N$155,"Partially effective"))</f>
        <v/>
      </c>
      <c r="G55" s="37" t="str">
        <f>IF(A55="","",COUNTIFS('Risk-Control Matrix'!$B$6:$B$155,A55,'Risk-Control Matrix'!$N$6:$N$155,"Ineffective"))</f>
        <v/>
      </c>
      <c r="H55" s="37" t="str">
        <f>IF(A55="","",COUNTIFS('Risk-Control Matrix'!$B$6:$B$155,A55,'Risk-Control Matrix'!$N$6:$N$155,"Not tested"))</f>
        <v/>
      </c>
      <c r="I55" s="37" t="str">
        <f>IF(A55="","",COUNTIFS('Risk-Control Matrix'!$B$6:$B$155,A55,'Risk-Control Matrix'!$O$6:$O$155,"Overdue"))</f>
        <v/>
      </c>
      <c r="J55" s="37" t="str">
        <f>IF(A55="","",IF(D55=0,Methodology!$A$44,IF(E55=D55,Methodology!$A$41,IF((E55+0.5*F55)/D55&gt;=0.5,Methodology!$A$42,Methodology!$A$43))))</f>
        <v/>
      </c>
      <c r="K55" s="37" t="str">
        <f>IF(A55="","",'Risk Register'!J55&amp;"")</f>
        <v/>
      </c>
      <c r="L55" s="38" t="str">
        <f t="shared" si="2"/>
        <v/>
      </c>
      <c r="M55" s="38" t="str">
        <f t="shared" si="3"/>
        <v/>
      </c>
    </row>
    <row r="56" spans="1:13" x14ac:dyDescent="0.35">
      <c r="A56" s="38" t="str">
        <f>IF('Risk Register'!A56="","",'Risk Register'!A56)</f>
        <v/>
      </c>
      <c r="B56" s="44" t="str">
        <f>IF(A56="","",'Risk Register'!B56)</f>
        <v/>
      </c>
      <c r="C56" s="37" t="str">
        <f>IF(A56="","",'Risk Register'!P56)</f>
        <v/>
      </c>
      <c r="D56" s="37" t="str">
        <f>IF(A56="","",COUNTIF('Risk-Control Matrix'!$B$6:$B$155,A56))</f>
        <v/>
      </c>
      <c r="E56" s="37" t="str">
        <f>IF(A56="","",COUNTIFS('Risk-Control Matrix'!$B$6:$B$155,A56,'Risk-Control Matrix'!$N$6:$N$155,"Effective"))</f>
        <v/>
      </c>
      <c r="F56" s="37" t="str">
        <f>IF(A56="","",COUNTIFS('Risk-Control Matrix'!$B$6:$B$155,A56,'Risk-Control Matrix'!$N$6:$N$155,"Partially effective"))</f>
        <v/>
      </c>
      <c r="G56" s="37" t="str">
        <f>IF(A56="","",COUNTIFS('Risk-Control Matrix'!$B$6:$B$155,A56,'Risk-Control Matrix'!$N$6:$N$155,"Ineffective"))</f>
        <v/>
      </c>
      <c r="H56" s="37" t="str">
        <f>IF(A56="","",COUNTIFS('Risk-Control Matrix'!$B$6:$B$155,A56,'Risk-Control Matrix'!$N$6:$N$155,"Not tested"))</f>
        <v/>
      </c>
      <c r="I56" s="37" t="str">
        <f>IF(A56="","",COUNTIFS('Risk-Control Matrix'!$B$6:$B$155,A56,'Risk-Control Matrix'!$O$6:$O$155,"Overdue"))</f>
        <v/>
      </c>
      <c r="J56" s="37" t="str">
        <f>IF(A56="","",IF(D56=0,Methodology!$A$44,IF(E56=D56,Methodology!$A$41,IF((E56+0.5*F56)/D56&gt;=0.5,Methodology!$A$42,Methodology!$A$43))))</f>
        <v/>
      </c>
      <c r="K56" s="37" t="str">
        <f>IF(A56="","",'Risk Register'!J56&amp;"")</f>
        <v/>
      </c>
      <c r="L56" s="38" t="str">
        <f t="shared" si="2"/>
        <v/>
      </c>
      <c r="M56" s="38" t="str">
        <f t="shared" si="3"/>
        <v/>
      </c>
    </row>
    <row r="57" spans="1:13" x14ac:dyDescent="0.35">
      <c r="A57" s="38" t="str">
        <f>IF('Risk Register'!A57="","",'Risk Register'!A57)</f>
        <v/>
      </c>
      <c r="B57" s="44" t="str">
        <f>IF(A57="","",'Risk Register'!B57)</f>
        <v/>
      </c>
      <c r="C57" s="37" t="str">
        <f>IF(A57="","",'Risk Register'!P57)</f>
        <v/>
      </c>
      <c r="D57" s="37" t="str">
        <f>IF(A57="","",COUNTIF('Risk-Control Matrix'!$B$6:$B$155,A57))</f>
        <v/>
      </c>
      <c r="E57" s="37" t="str">
        <f>IF(A57="","",COUNTIFS('Risk-Control Matrix'!$B$6:$B$155,A57,'Risk-Control Matrix'!$N$6:$N$155,"Effective"))</f>
        <v/>
      </c>
      <c r="F57" s="37" t="str">
        <f>IF(A57="","",COUNTIFS('Risk-Control Matrix'!$B$6:$B$155,A57,'Risk-Control Matrix'!$N$6:$N$155,"Partially effective"))</f>
        <v/>
      </c>
      <c r="G57" s="37" t="str">
        <f>IF(A57="","",COUNTIFS('Risk-Control Matrix'!$B$6:$B$155,A57,'Risk-Control Matrix'!$N$6:$N$155,"Ineffective"))</f>
        <v/>
      </c>
      <c r="H57" s="37" t="str">
        <f>IF(A57="","",COUNTIFS('Risk-Control Matrix'!$B$6:$B$155,A57,'Risk-Control Matrix'!$N$6:$N$155,"Not tested"))</f>
        <v/>
      </c>
      <c r="I57" s="37" t="str">
        <f>IF(A57="","",COUNTIFS('Risk-Control Matrix'!$B$6:$B$155,A57,'Risk-Control Matrix'!$O$6:$O$155,"Overdue"))</f>
        <v/>
      </c>
      <c r="J57" s="37" t="str">
        <f>IF(A57="","",IF(D57=0,Methodology!$A$44,IF(E57=D57,Methodology!$A$41,IF((E57+0.5*F57)/D57&gt;=0.5,Methodology!$A$42,Methodology!$A$43))))</f>
        <v/>
      </c>
      <c r="K57" s="37" t="str">
        <f>IF(A57="","",'Risk Register'!J57&amp;"")</f>
        <v/>
      </c>
      <c r="L57" s="38" t="str">
        <f t="shared" si="2"/>
        <v/>
      </c>
      <c r="M57" s="38" t="str">
        <f t="shared" si="3"/>
        <v/>
      </c>
    </row>
    <row r="58" spans="1:13" x14ac:dyDescent="0.35">
      <c r="A58" s="38" t="str">
        <f>IF('Risk Register'!A58="","",'Risk Register'!A58)</f>
        <v/>
      </c>
      <c r="B58" s="44" t="str">
        <f>IF(A58="","",'Risk Register'!B58)</f>
        <v/>
      </c>
      <c r="C58" s="37" t="str">
        <f>IF(A58="","",'Risk Register'!P58)</f>
        <v/>
      </c>
      <c r="D58" s="37" t="str">
        <f>IF(A58="","",COUNTIF('Risk-Control Matrix'!$B$6:$B$155,A58))</f>
        <v/>
      </c>
      <c r="E58" s="37" t="str">
        <f>IF(A58="","",COUNTIFS('Risk-Control Matrix'!$B$6:$B$155,A58,'Risk-Control Matrix'!$N$6:$N$155,"Effective"))</f>
        <v/>
      </c>
      <c r="F58" s="37" t="str">
        <f>IF(A58="","",COUNTIFS('Risk-Control Matrix'!$B$6:$B$155,A58,'Risk-Control Matrix'!$N$6:$N$155,"Partially effective"))</f>
        <v/>
      </c>
      <c r="G58" s="37" t="str">
        <f>IF(A58="","",COUNTIFS('Risk-Control Matrix'!$B$6:$B$155,A58,'Risk-Control Matrix'!$N$6:$N$155,"Ineffective"))</f>
        <v/>
      </c>
      <c r="H58" s="37" t="str">
        <f>IF(A58="","",COUNTIFS('Risk-Control Matrix'!$B$6:$B$155,A58,'Risk-Control Matrix'!$N$6:$N$155,"Not tested"))</f>
        <v/>
      </c>
      <c r="I58" s="37" t="str">
        <f>IF(A58="","",COUNTIFS('Risk-Control Matrix'!$B$6:$B$155,A58,'Risk-Control Matrix'!$O$6:$O$155,"Overdue"))</f>
        <v/>
      </c>
      <c r="J58" s="37" t="str">
        <f>IF(A58="","",IF(D58=0,Methodology!$A$44,IF(E58=D58,Methodology!$A$41,IF((E58+0.5*F58)/D58&gt;=0.5,Methodology!$A$42,Methodology!$A$43))))</f>
        <v/>
      </c>
      <c r="K58" s="37" t="str">
        <f>IF(A58="","",'Risk Register'!J58&amp;"")</f>
        <v/>
      </c>
      <c r="L58" s="38" t="str">
        <f t="shared" si="2"/>
        <v/>
      </c>
      <c r="M58" s="38" t="str">
        <f t="shared" si="3"/>
        <v/>
      </c>
    </row>
    <row r="59" spans="1:13" x14ac:dyDescent="0.35">
      <c r="A59" s="38" t="str">
        <f>IF('Risk Register'!A59="","",'Risk Register'!A59)</f>
        <v/>
      </c>
      <c r="B59" s="44" t="str">
        <f>IF(A59="","",'Risk Register'!B59)</f>
        <v/>
      </c>
      <c r="C59" s="37" t="str">
        <f>IF(A59="","",'Risk Register'!P59)</f>
        <v/>
      </c>
      <c r="D59" s="37" t="str">
        <f>IF(A59="","",COUNTIF('Risk-Control Matrix'!$B$6:$B$155,A59))</f>
        <v/>
      </c>
      <c r="E59" s="37" t="str">
        <f>IF(A59="","",COUNTIFS('Risk-Control Matrix'!$B$6:$B$155,A59,'Risk-Control Matrix'!$N$6:$N$155,"Effective"))</f>
        <v/>
      </c>
      <c r="F59" s="37" t="str">
        <f>IF(A59="","",COUNTIFS('Risk-Control Matrix'!$B$6:$B$155,A59,'Risk-Control Matrix'!$N$6:$N$155,"Partially effective"))</f>
        <v/>
      </c>
      <c r="G59" s="37" t="str">
        <f>IF(A59="","",COUNTIFS('Risk-Control Matrix'!$B$6:$B$155,A59,'Risk-Control Matrix'!$N$6:$N$155,"Ineffective"))</f>
        <v/>
      </c>
      <c r="H59" s="37" t="str">
        <f>IF(A59="","",COUNTIFS('Risk-Control Matrix'!$B$6:$B$155,A59,'Risk-Control Matrix'!$N$6:$N$155,"Not tested"))</f>
        <v/>
      </c>
      <c r="I59" s="37" t="str">
        <f>IF(A59="","",COUNTIFS('Risk-Control Matrix'!$B$6:$B$155,A59,'Risk-Control Matrix'!$O$6:$O$155,"Overdue"))</f>
        <v/>
      </c>
      <c r="J59" s="37" t="str">
        <f>IF(A59="","",IF(D59=0,Methodology!$A$44,IF(E59=D59,Methodology!$A$41,IF((E59+0.5*F59)/D59&gt;=0.5,Methodology!$A$42,Methodology!$A$43))))</f>
        <v/>
      </c>
      <c r="K59" s="37" t="str">
        <f>IF(A59="","",'Risk Register'!J59&amp;"")</f>
        <v/>
      </c>
      <c r="L59" s="38" t="str">
        <f t="shared" si="2"/>
        <v/>
      </c>
      <c r="M59" s="38" t="str">
        <f t="shared" si="3"/>
        <v/>
      </c>
    </row>
    <row r="60" spans="1:13" x14ac:dyDescent="0.35">
      <c r="A60" s="38" t="str">
        <f>IF('Risk Register'!A60="","",'Risk Register'!A60)</f>
        <v/>
      </c>
      <c r="B60" s="44" t="str">
        <f>IF(A60="","",'Risk Register'!B60)</f>
        <v/>
      </c>
      <c r="C60" s="37" t="str">
        <f>IF(A60="","",'Risk Register'!P60)</f>
        <v/>
      </c>
      <c r="D60" s="37" t="str">
        <f>IF(A60="","",COUNTIF('Risk-Control Matrix'!$B$6:$B$155,A60))</f>
        <v/>
      </c>
      <c r="E60" s="37" t="str">
        <f>IF(A60="","",COUNTIFS('Risk-Control Matrix'!$B$6:$B$155,A60,'Risk-Control Matrix'!$N$6:$N$155,"Effective"))</f>
        <v/>
      </c>
      <c r="F60" s="37" t="str">
        <f>IF(A60="","",COUNTIFS('Risk-Control Matrix'!$B$6:$B$155,A60,'Risk-Control Matrix'!$N$6:$N$155,"Partially effective"))</f>
        <v/>
      </c>
      <c r="G60" s="37" t="str">
        <f>IF(A60="","",COUNTIFS('Risk-Control Matrix'!$B$6:$B$155,A60,'Risk-Control Matrix'!$N$6:$N$155,"Ineffective"))</f>
        <v/>
      </c>
      <c r="H60" s="37" t="str">
        <f>IF(A60="","",COUNTIFS('Risk-Control Matrix'!$B$6:$B$155,A60,'Risk-Control Matrix'!$N$6:$N$155,"Not tested"))</f>
        <v/>
      </c>
      <c r="I60" s="37" t="str">
        <f>IF(A60="","",COUNTIFS('Risk-Control Matrix'!$B$6:$B$155,A60,'Risk-Control Matrix'!$O$6:$O$155,"Overdue"))</f>
        <v/>
      </c>
      <c r="J60" s="37" t="str">
        <f>IF(A60="","",IF(D60=0,Methodology!$A$44,IF(E60=D60,Methodology!$A$41,IF((E60+0.5*F60)/D60&gt;=0.5,Methodology!$A$42,Methodology!$A$43))))</f>
        <v/>
      </c>
      <c r="K60" s="37" t="str">
        <f>IF(A60="","",'Risk Register'!J60&amp;"")</f>
        <v/>
      </c>
      <c r="L60" s="38" t="str">
        <f t="shared" si="2"/>
        <v/>
      </c>
      <c r="M60" s="38" t="str">
        <f t="shared" si="3"/>
        <v/>
      </c>
    </row>
    <row r="61" spans="1:13" x14ac:dyDescent="0.35">
      <c r="A61" s="38" t="str">
        <f>IF('Risk Register'!A61="","",'Risk Register'!A61)</f>
        <v/>
      </c>
      <c r="B61" s="44" t="str">
        <f>IF(A61="","",'Risk Register'!B61)</f>
        <v/>
      </c>
      <c r="C61" s="37" t="str">
        <f>IF(A61="","",'Risk Register'!P61)</f>
        <v/>
      </c>
      <c r="D61" s="37" t="str">
        <f>IF(A61="","",COUNTIF('Risk-Control Matrix'!$B$6:$B$155,A61))</f>
        <v/>
      </c>
      <c r="E61" s="37" t="str">
        <f>IF(A61="","",COUNTIFS('Risk-Control Matrix'!$B$6:$B$155,A61,'Risk-Control Matrix'!$N$6:$N$155,"Effective"))</f>
        <v/>
      </c>
      <c r="F61" s="37" t="str">
        <f>IF(A61="","",COUNTIFS('Risk-Control Matrix'!$B$6:$B$155,A61,'Risk-Control Matrix'!$N$6:$N$155,"Partially effective"))</f>
        <v/>
      </c>
      <c r="G61" s="37" t="str">
        <f>IF(A61="","",COUNTIFS('Risk-Control Matrix'!$B$6:$B$155,A61,'Risk-Control Matrix'!$N$6:$N$155,"Ineffective"))</f>
        <v/>
      </c>
      <c r="H61" s="37" t="str">
        <f>IF(A61="","",COUNTIFS('Risk-Control Matrix'!$B$6:$B$155,A61,'Risk-Control Matrix'!$N$6:$N$155,"Not tested"))</f>
        <v/>
      </c>
      <c r="I61" s="37" t="str">
        <f>IF(A61="","",COUNTIFS('Risk-Control Matrix'!$B$6:$B$155,A61,'Risk-Control Matrix'!$O$6:$O$155,"Overdue"))</f>
        <v/>
      </c>
      <c r="J61" s="37" t="str">
        <f>IF(A61="","",IF(D61=0,Methodology!$A$44,IF(E61=D61,Methodology!$A$41,IF((E61+0.5*F61)/D61&gt;=0.5,Methodology!$A$42,Methodology!$A$43))))</f>
        <v/>
      </c>
      <c r="K61" s="37" t="str">
        <f>IF(A61="","",'Risk Register'!J61&amp;"")</f>
        <v/>
      </c>
      <c r="L61" s="38" t="str">
        <f t="shared" si="2"/>
        <v/>
      </c>
      <c r="M61" s="38" t="str">
        <f t="shared" si="3"/>
        <v/>
      </c>
    </row>
    <row r="62" spans="1:13" x14ac:dyDescent="0.35">
      <c r="A62" s="38" t="str">
        <f>IF('Risk Register'!A62="","",'Risk Register'!A62)</f>
        <v/>
      </c>
      <c r="B62" s="44" t="str">
        <f>IF(A62="","",'Risk Register'!B62)</f>
        <v/>
      </c>
      <c r="C62" s="37" t="str">
        <f>IF(A62="","",'Risk Register'!P62)</f>
        <v/>
      </c>
      <c r="D62" s="37" t="str">
        <f>IF(A62="","",COUNTIF('Risk-Control Matrix'!$B$6:$B$155,A62))</f>
        <v/>
      </c>
      <c r="E62" s="37" t="str">
        <f>IF(A62="","",COUNTIFS('Risk-Control Matrix'!$B$6:$B$155,A62,'Risk-Control Matrix'!$N$6:$N$155,"Effective"))</f>
        <v/>
      </c>
      <c r="F62" s="37" t="str">
        <f>IF(A62="","",COUNTIFS('Risk-Control Matrix'!$B$6:$B$155,A62,'Risk-Control Matrix'!$N$6:$N$155,"Partially effective"))</f>
        <v/>
      </c>
      <c r="G62" s="37" t="str">
        <f>IF(A62="","",COUNTIFS('Risk-Control Matrix'!$B$6:$B$155,A62,'Risk-Control Matrix'!$N$6:$N$155,"Ineffective"))</f>
        <v/>
      </c>
      <c r="H62" s="37" t="str">
        <f>IF(A62="","",COUNTIFS('Risk-Control Matrix'!$B$6:$B$155,A62,'Risk-Control Matrix'!$N$6:$N$155,"Not tested"))</f>
        <v/>
      </c>
      <c r="I62" s="37" t="str">
        <f>IF(A62="","",COUNTIFS('Risk-Control Matrix'!$B$6:$B$155,A62,'Risk-Control Matrix'!$O$6:$O$155,"Overdue"))</f>
        <v/>
      </c>
      <c r="J62" s="37" t="str">
        <f>IF(A62="","",IF(D62=0,Methodology!$A$44,IF(E62=D62,Methodology!$A$41,IF((E62+0.5*F62)/D62&gt;=0.5,Methodology!$A$42,Methodology!$A$43))))</f>
        <v/>
      </c>
      <c r="K62" s="37" t="str">
        <f>IF(A62="","",'Risk Register'!J62&amp;"")</f>
        <v/>
      </c>
      <c r="L62" s="38" t="str">
        <f t="shared" si="2"/>
        <v/>
      </c>
      <c r="M62" s="38" t="str">
        <f t="shared" si="3"/>
        <v/>
      </c>
    </row>
    <row r="63" spans="1:13" x14ac:dyDescent="0.35">
      <c r="A63" s="38" t="str">
        <f>IF('Risk Register'!A63="","",'Risk Register'!A63)</f>
        <v/>
      </c>
      <c r="B63" s="44" t="str">
        <f>IF(A63="","",'Risk Register'!B63)</f>
        <v/>
      </c>
      <c r="C63" s="37" t="str">
        <f>IF(A63="","",'Risk Register'!P63)</f>
        <v/>
      </c>
      <c r="D63" s="37" t="str">
        <f>IF(A63="","",COUNTIF('Risk-Control Matrix'!$B$6:$B$155,A63))</f>
        <v/>
      </c>
      <c r="E63" s="37" t="str">
        <f>IF(A63="","",COUNTIFS('Risk-Control Matrix'!$B$6:$B$155,A63,'Risk-Control Matrix'!$N$6:$N$155,"Effective"))</f>
        <v/>
      </c>
      <c r="F63" s="37" t="str">
        <f>IF(A63="","",COUNTIFS('Risk-Control Matrix'!$B$6:$B$155,A63,'Risk-Control Matrix'!$N$6:$N$155,"Partially effective"))</f>
        <v/>
      </c>
      <c r="G63" s="37" t="str">
        <f>IF(A63="","",COUNTIFS('Risk-Control Matrix'!$B$6:$B$155,A63,'Risk-Control Matrix'!$N$6:$N$155,"Ineffective"))</f>
        <v/>
      </c>
      <c r="H63" s="37" t="str">
        <f>IF(A63="","",COUNTIFS('Risk-Control Matrix'!$B$6:$B$155,A63,'Risk-Control Matrix'!$N$6:$N$155,"Not tested"))</f>
        <v/>
      </c>
      <c r="I63" s="37" t="str">
        <f>IF(A63="","",COUNTIFS('Risk-Control Matrix'!$B$6:$B$155,A63,'Risk-Control Matrix'!$O$6:$O$155,"Overdue"))</f>
        <v/>
      </c>
      <c r="J63" s="37" t="str">
        <f>IF(A63="","",IF(D63=0,Methodology!$A$44,IF(E63=D63,Methodology!$A$41,IF((E63+0.5*F63)/D63&gt;=0.5,Methodology!$A$42,Methodology!$A$43))))</f>
        <v/>
      </c>
      <c r="K63" s="37" t="str">
        <f>IF(A63="","",'Risk Register'!J63&amp;"")</f>
        <v/>
      </c>
      <c r="L63" s="38" t="str">
        <f t="shared" si="2"/>
        <v/>
      </c>
      <c r="M63" s="38" t="str">
        <f t="shared" si="3"/>
        <v/>
      </c>
    </row>
    <row r="64" spans="1:13" x14ac:dyDescent="0.35">
      <c r="A64" s="38" t="str">
        <f>IF('Risk Register'!A64="","",'Risk Register'!A64)</f>
        <v/>
      </c>
      <c r="B64" s="44" t="str">
        <f>IF(A64="","",'Risk Register'!B64)</f>
        <v/>
      </c>
      <c r="C64" s="37" t="str">
        <f>IF(A64="","",'Risk Register'!P64)</f>
        <v/>
      </c>
      <c r="D64" s="37" t="str">
        <f>IF(A64="","",COUNTIF('Risk-Control Matrix'!$B$6:$B$155,A64))</f>
        <v/>
      </c>
      <c r="E64" s="37" t="str">
        <f>IF(A64="","",COUNTIFS('Risk-Control Matrix'!$B$6:$B$155,A64,'Risk-Control Matrix'!$N$6:$N$155,"Effective"))</f>
        <v/>
      </c>
      <c r="F64" s="37" t="str">
        <f>IF(A64="","",COUNTIFS('Risk-Control Matrix'!$B$6:$B$155,A64,'Risk-Control Matrix'!$N$6:$N$155,"Partially effective"))</f>
        <v/>
      </c>
      <c r="G64" s="37" t="str">
        <f>IF(A64="","",COUNTIFS('Risk-Control Matrix'!$B$6:$B$155,A64,'Risk-Control Matrix'!$N$6:$N$155,"Ineffective"))</f>
        <v/>
      </c>
      <c r="H64" s="37" t="str">
        <f>IF(A64="","",COUNTIFS('Risk-Control Matrix'!$B$6:$B$155,A64,'Risk-Control Matrix'!$N$6:$N$155,"Not tested"))</f>
        <v/>
      </c>
      <c r="I64" s="37" t="str">
        <f>IF(A64="","",COUNTIFS('Risk-Control Matrix'!$B$6:$B$155,A64,'Risk-Control Matrix'!$O$6:$O$155,"Overdue"))</f>
        <v/>
      </c>
      <c r="J64" s="37" t="str">
        <f>IF(A64="","",IF(D64=0,Methodology!$A$44,IF(E64=D64,Methodology!$A$41,IF((E64+0.5*F64)/D64&gt;=0.5,Methodology!$A$42,Methodology!$A$43))))</f>
        <v/>
      </c>
      <c r="K64" s="37" t="str">
        <f>IF(A64="","",'Risk Register'!J64&amp;"")</f>
        <v/>
      </c>
      <c r="L64" s="38" t="str">
        <f t="shared" si="2"/>
        <v/>
      </c>
      <c r="M64" s="38" t="str">
        <f t="shared" si="3"/>
        <v/>
      </c>
    </row>
    <row r="65" spans="1:13" x14ac:dyDescent="0.35">
      <c r="A65" s="38" t="str">
        <f>IF('Risk Register'!A65="","",'Risk Register'!A65)</f>
        <v/>
      </c>
      <c r="B65" s="44" t="str">
        <f>IF(A65="","",'Risk Register'!B65)</f>
        <v/>
      </c>
      <c r="C65" s="37" t="str">
        <f>IF(A65="","",'Risk Register'!P65)</f>
        <v/>
      </c>
      <c r="D65" s="37" t="str">
        <f>IF(A65="","",COUNTIF('Risk-Control Matrix'!$B$6:$B$155,A65))</f>
        <v/>
      </c>
      <c r="E65" s="37" t="str">
        <f>IF(A65="","",COUNTIFS('Risk-Control Matrix'!$B$6:$B$155,A65,'Risk-Control Matrix'!$N$6:$N$155,"Effective"))</f>
        <v/>
      </c>
      <c r="F65" s="37" t="str">
        <f>IF(A65="","",COUNTIFS('Risk-Control Matrix'!$B$6:$B$155,A65,'Risk-Control Matrix'!$N$6:$N$155,"Partially effective"))</f>
        <v/>
      </c>
      <c r="G65" s="37" t="str">
        <f>IF(A65="","",COUNTIFS('Risk-Control Matrix'!$B$6:$B$155,A65,'Risk-Control Matrix'!$N$6:$N$155,"Ineffective"))</f>
        <v/>
      </c>
      <c r="H65" s="37" t="str">
        <f>IF(A65="","",COUNTIFS('Risk-Control Matrix'!$B$6:$B$155,A65,'Risk-Control Matrix'!$N$6:$N$155,"Not tested"))</f>
        <v/>
      </c>
      <c r="I65" s="37" t="str">
        <f>IF(A65="","",COUNTIFS('Risk-Control Matrix'!$B$6:$B$155,A65,'Risk-Control Matrix'!$O$6:$O$155,"Overdue"))</f>
        <v/>
      </c>
      <c r="J65" s="37" t="str">
        <f>IF(A65="","",IF(D65=0,Methodology!$A$44,IF(E65=D65,Methodology!$A$41,IF((E65+0.5*F65)/D65&gt;=0.5,Methodology!$A$42,Methodology!$A$43))))</f>
        <v/>
      </c>
      <c r="K65" s="37" t="str">
        <f>IF(A65="","",'Risk Register'!J65&amp;"")</f>
        <v/>
      </c>
      <c r="L65" s="38" t="str">
        <f t="shared" si="2"/>
        <v/>
      </c>
      <c r="M65" s="38" t="str">
        <f t="shared" si="3"/>
        <v/>
      </c>
    </row>
    <row r="66" spans="1:13" x14ac:dyDescent="0.35">
      <c r="A66" s="38" t="str">
        <f>IF('Risk Register'!A66="","",'Risk Register'!A66)</f>
        <v/>
      </c>
      <c r="B66" s="44" t="str">
        <f>IF(A66="","",'Risk Register'!B66)</f>
        <v/>
      </c>
      <c r="C66" s="37" t="str">
        <f>IF(A66="","",'Risk Register'!P66)</f>
        <v/>
      </c>
      <c r="D66" s="37" t="str">
        <f>IF(A66="","",COUNTIF('Risk-Control Matrix'!$B$6:$B$155,A66))</f>
        <v/>
      </c>
      <c r="E66" s="37" t="str">
        <f>IF(A66="","",COUNTIFS('Risk-Control Matrix'!$B$6:$B$155,A66,'Risk-Control Matrix'!$N$6:$N$155,"Effective"))</f>
        <v/>
      </c>
      <c r="F66" s="37" t="str">
        <f>IF(A66="","",COUNTIFS('Risk-Control Matrix'!$B$6:$B$155,A66,'Risk-Control Matrix'!$N$6:$N$155,"Partially effective"))</f>
        <v/>
      </c>
      <c r="G66" s="37" t="str">
        <f>IF(A66="","",COUNTIFS('Risk-Control Matrix'!$B$6:$B$155,A66,'Risk-Control Matrix'!$N$6:$N$155,"Ineffective"))</f>
        <v/>
      </c>
      <c r="H66" s="37" t="str">
        <f>IF(A66="","",COUNTIFS('Risk-Control Matrix'!$B$6:$B$155,A66,'Risk-Control Matrix'!$N$6:$N$155,"Not tested"))</f>
        <v/>
      </c>
      <c r="I66" s="37" t="str">
        <f>IF(A66="","",COUNTIFS('Risk-Control Matrix'!$B$6:$B$155,A66,'Risk-Control Matrix'!$O$6:$O$155,"Overdue"))</f>
        <v/>
      </c>
      <c r="J66" s="37" t="str">
        <f>IF(A66="","",IF(D66=0,Methodology!$A$44,IF(E66=D66,Methodology!$A$41,IF((E66+0.5*F66)/D66&gt;=0.5,Methodology!$A$42,Methodology!$A$43))))</f>
        <v/>
      </c>
      <c r="K66" s="37" t="str">
        <f>IF(A66="","",'Risk Register'!J66&amp;"")</f>
        <v/>
      </c>
      <c r="L66" s="38" t="str">
        <f t="shared" si="2"/>
        <v/>
      </c>
      <c r="M66" s="38" t="str">
        <f t="shared" si="3"/>
        <v/>
      </c>
    </row>
    <row r="67" spans="1:13" x14ac:dyDescent="0.35">
      <c r="A67" s="38" t="str">
        <f>IF('Risk Register'!A67="","",'Risk Register'!A67)</f>
        <v/>
      </c>
      <c r="B67" s="44" t="str">
        <f>IF(A67="","",'Risk Register'!B67)</f>
        <v/>
      </c>
      <c r="C67" s="37" t="str">
        <f>IF(A67="","",'Risk Register'!P67)</f>
        <v/>
      </c>
      <c r="D67" s="37" t="str">
        <f>IF(A67="","",COUNTIF('Risk-Control Matrix'!$B$6:$B$155,A67))</f>
        <v/>
      </c>
      <c r="E67" s="37" t="str">
        <f>IF(A67="","",COUNTIFS('Risk-Control Matrix'!$B$6:$B$155,A67,'Risk-Control Matrix'!$N$6:$N$155,"Effective"))</f>
        <v/>
      </c>
      <c r="F67" s="37" t="str">
        <f>IF(A67="","",COUNTIFS('Risk-Control Matrix'!$B$6:$B$155,A67,'Risk-Control Matrix'!$N$6:$N$155,"Partially effective"))</f>
        <v/>
      </c>
      <c r="G67" s="37" t="str">
        <f>IF(A67="","",COUNTIFS('Risk-Control Matrix'!$B$6:$B$155,A67,'Risk-Control Matrix'!$N$6:$N$155,"Ineffective"))</f>
        <v/>
      </c>
      <c r="H67" s="37" t="str">
        <f>IF(A67="","",COUNTIFS('Risk-Control Matrix'!$B$6:$B$155,A67,'Risk-Control Matrix'!$N$6:$N$155,"Not tested"))</f>
        <v/>
      </c>
      <c r="I67" s="37" t="str">
        <f>IF(A67="","",COUNTIFS('Risk-Control Matrix'!$B$6:$B$155,A67,'Risk-Control Matrix'!$O$6:$O$155,"Overdue"))</f>
        <v/>
      </c>
      <c r="J67" s="37" t="str">
        <f>IF(A67="","",IF(D67=0,Methodology!$A$44,IF(E67=D67,Methodology!$A$41,IF((E67+0.5*F67)/D67&gt;=0.5,Methodology!$A$42,Methodology!$A$43))))</f>
        <v/>
      </c>
      <c r="K67" s="37" t="str">
        <f>IF(A67="","",'Risk Register'!J67&amp;"")</f>
        <v/>
      </c>
      <c r="L67" s="38" t="str">
        <f t="shared" si="2"/>
        <v/>
      </c>
      <c r="M67" s="38" t="str">
        <f t="shared" si="3"/>
        <v/>
      </c>
    </row>
    <row r="68" spans="1:13" x14ac:dyDescent="0.35">
      <c r="A68" s="38" t="str">
        <f>IF('Risk Register'!A68="","",'Risk Register'!A68)</f>
        <v/>
      </c>
      <c r="B68" s="44" t="str">
        <f>IF(A68="","",'Risk Register'!B68)</f>
        <v/>
      </c>
      <c r="C68" s="37" t="str">
        <f>IF(A68="","",'Risk Register'!P68)</f>
        <v/>
      </c>
      <c r="D68" s="37" t="str">
        <f>IF(A68="","",COUNTIF('Risk-Control Matrix'!$B$6:$B$155,A68))</f>
        <v/>
      </c>
      <c r="E68" s="37" t="str">
        <f>IF(A68="","",COUNTIFS('Risk-Control Matrix'!$B$6:$B$155,A68,'Risk-Control Matrix'!$N$6:$N$155,"Effective"))</f>
        <v/>
      </c>
      <c r="F68" s="37" t="str">
        <f>IF(A68="","",COUNTIFS('Risk-Control Matrix'!$B$6:$B$155,A68,'Risk-Control Matrix'!$N$6:$N$155,"Partially effective"))</f>
        <v/>
      </c>
      <c r="G68" s="37" t="str">
        <f>IF(A68="","",COUNTIFS('Risk-Control Matrix'!$B$6:$B$155,A68,'Risk-Control Matrix'!$N$6:$N$155,"Ineffective"))</f>
        <v/>
      </c>
      <c r="H68" s="37" t="str">
        <f>IF(A68="","",COUNTIFS('Risk-Control Matrix'!$B$6:$B$155,A68,'Risk-Control Matrix'!$N$6:$N$155,"Not tested"))</f>
        <v/>
      </c>
      <c r="I68" s="37" t="str">
        <f>IF(A68="","",COUNTIFS('Risk-Control Matrix'!$B$6:$B$155,A68,'Risk-Control Matrix'!$O$6:$O$155,"Overdue"))</f>
        <v/>
      </c>
      <c r="J68" s="37" t="str">
        <f>IF(A68="","",IF(D68=0,Methodology!$A$44,IF(E68=D68,Methodology!$A$41,IF((E68+0.5*F68)/D68&gt;=0.5,Methodology!$A$42,Methodology!$A$43))))</f>
        <v/>
      </c>
      <c r="K68" s="37" t="str">
        <f>IF(A68="","",'Risk Register'!J68&amp;"")</f>
        <v/>
      </c>
      <c r="L68" s="38" t="str">
        <f t="shared" si="2"/>
        <v/>
      </c>
      <c r="M68" s="38" t="str">
        <f t="shared" si="3"/>
        <v/>
      </c>
    </row>
    <row r="69" spans="1:13" x14ac:dyDescent="0.35">
      <c r="A69" s="38" t="str">
        <f>IF('Risk Register'!A69="","",'Risk Register'!A69)</f>
        <v/>
      </c>
      <c r="B69" s="44" t="str">
        <f>IF(A69="","",'Risk Register'!B69)</f>
        <v/>
      </c>
      <c r="C69" s="37" t="str">
        <f>IF(A69="","",'Risk Register'!P69)</f>
        <v/>
      </c>
      <c r="D69" s="37" t="str">
        <f>IF(A69="","",COUNTIF('Risk-Control Matrix'!$B$6:$B$155,A69))</f>
        <v/>
      </c>
      <c r="E69" s="37" t="str">
        <f>IF(A69="","",COUNTIFS('Risk-Control Matrix'!$B$6:$B$155,A69,'Risk-Control Matrix'!$N$6:$N$155,"Effective"))</f>
        <v/>
      </c>
      <c r="F69" s="37" t="str">
        <f>IF(A69="","",COUNTIFS('Risk-Control Matrix'!$B$6:$B$155,A69,'Risk-Control Matrix'!$N$6:$N$155,"Partially effective"))</f>
        <v/>
      </c>
      <c r="G69" s="37" t="str">
        <f>IF(A69="","",COUNTIFS('Risk-Control Matrix'!$B$6:$B$155,A69,'Risk-Control Matrix'!$N$6:$N$155,"Ineffective"))</f>
        <v/>
      </c>
      <c r="H69" s="37" t="str">
        <f>IF(A69="","",COUNTIFS('Risk-Control Matrix'!$B$6:$B$155,A69,'Risk-Control Matrix'!$N$6:$N$155,"Not tested"))</f>
        <v/>
      </c>
      <c r="I69" s="37" t="str">
        <f>IF(A69="","",COUNTIFS('Risk-Control Matrix'!$B$6:$B$155,A69,'Risk-Control Matrix'!$O$6:$O$155,"Overdue"))</f>
        <v/>
      </c>
      <c r="J69" s="37" t="str">
        <f>IF(A69="","",IF(D69=0,Methodology!$A$44,IF(E69=D69,Methodology!$A$41,IF((E69+0.5*F69)/D69&gt;=0.5,Methodology!$A$42,Methodology!$A$43))))</f>
        <v/>
      </c>
      <c r="K69" s="37" t="str">
        <f>IF(A69="","",'Risk Register'!J69&amp;"")</f>
        <v/>
      </c>
      <c r="L69" s="38" t="str">
        <f t="shared" si="2"/>
        <v/>
      </c>
      <c r="M69" s="38" t="str">
        <f t="shared" si="3"/>
        <v/>
      </c>
    </row>
    <row r="70" spans="1:13" x14ac:dyDescent="0.35">
      <c r="A70" s="38" t="str">
        <f>IF('Risk Register'!A70="","",'Risk Register'!A70)</f>
        <v/>
      </c>
      <c r="B70" s="44" t="str">
        <f>IF(A70="","",'Risk Register'!B70)</f>
        <v/>
      </c>
      <c r="C70" s="37" t="str">
        <f>IF(A70="","",'Risk Register'!P70)</f>
        <v/>
      </c>
      <c r="D70" s="37" t="str">
        <f>IF(A70="","",COUNTIF('Risk-Control Matrix'!$B$6:$B$155,A70))</f>
        <v/>
      </c>
      <c r="E70" s="37" t="str">
        <f>IF(A70="","",COUNTIFS('Risk-Control Matrix'!$B$6:$B$155,A70,'Risk-Control Matrix'!$N$6:$N$155,"Effective"))</f>
        <v/>
      </c>
      <c r="F70" s="37" t="str">
        <f>IF(A70="","",COUNTIFS('Risk-Control Matrix'!$B$6:$B$155,A70,'Risk-Control Matrix'!$N$6:$N$155,"Partially effective"))</f>
        <v/>
      </c>
      <c r="G70" s="37" t="str">
        <f>IF(A70="","",COUNTIFS('Risk-Control Matrix'!$B$6:$B$155,A70,'Risk-Control Matrix'!$N$6:$N$155,"Ineffective"))</f>
        <v/>
      </c>
      <c r="H70" s="37" t="str">
        <f>IF(A70="","",COUNTIFS('Risk-Control Matrix'!$B$6:$B$155,A70,'Risk-Control Matrix'!$N$6:$N$155,"Not tested"))</f>
        <v/>
      </c>
      <c r="I70" s="37" t="str">
        <f>IF(A70="","",COUNTIFS('Risk-Control Matrix'!$B$6:$B$155,A70,'Risk-Control Matrix'!$O$6:$O$155,"Overdue"))</f>
        <v/>
      </c>
      <c r="J70" s="37" t="str">
        <f>IF(A70="","",IF(D70=0,Methodology!$A$44,IF(E70=D70,Methodology!$A$41,IF((E70+0.5*F70)/D70&gt;=0.5,Methodology!$A$42,Methodology!$A$43))))</f>
        <v/>
      </c>
      <c r="K70" s="37" t="str">
        <f>IF(A70="","",'Risk Register'!J70&amp;"")</f>
        <v/>
      </c>
      <c r="L70" s="38" t="str">
        <f t="shared" ref="L70:L101" si="4">IF(A70="","",IF(K70="","Not set in register",IF(J70=K70,"Aligned","Review: register says "&amp;K70)))</f>
        <v/>
      </c>
      <c r="M70" s="38" t="str">
        <f t="shared" ref="M70:M105" si="5">IF(A70="","",IF(D70=0,"No controls mapped",IF(E70=0,"No fully effective control",IF(I70&gt;0,"Control testing overdue",""))))</f>
        <v/>
      </c>
    </row>
    <row r="71" spans="1:13" x14ac:dyDescent="0.35">
      <c r="A71" s="38" t="str">
        <f>IF('Risk Register'!A71="","",'Risk Register'!A71)</f>
        <v/>
      </c>
      <c r="B71" s="44" t="str">
        <f>IF(A71="","",'Risk Register'!B71)</f>
        <v/>
      </c>
      <c r="C71" s="37" t="str">
        <f>IF(A71="","",'Risk Register'!P71)</f>
        <v/>
      </c>
      <c r="D71" s="37" t="str">
        <f>IF(A71="","",COUNTIF('Risk-Control Matrix'!$B$6:$B$155,A71))</f>
        <v/>
      </c>
      <c r="E71" s="37" t="str">
        <f>IF(A71="","",COUNTIFS('Risk-Control Matrix'!$B$6:$B$155,A71,'Risk-Control Matrix'!$N$6:$N$155,"Effective"))</f>
        <v/>
      </c>
      <c r="F71" s="37" t="str">
        <f>IF(A71="","",COUNTIFS('Risk-Control Matrix'!$B$6:$B$155,A71,'Risk-Control Matrix'!$N$6:$N$155,"Partially effective"))</f>
        <v/>
      </c>
      <c r="G71" s="37" t="str">
        <f>IF(A71="","",COUNTIFS('Risk-Control Matrix'!$B$6:$B$155,A71,'Risk-Control Matrix'!$N$6:$N$155,"Ineffective"))</f>
        <v/>
      </c>
      <c r="H71" s="37" t="str">
        <f>IF(A71="","",COUNTIFS('Risk-Control Matrix'!$B$6:$B$155,A71,'Risk-Control Matrix'!$N$6:$N$155,"Not tested"))</f>
        <v/>
      </c>
      <c r="I71" s="37" t="str">
        <f>IF(A71="","",COUNTIFS('Risk-Control Matrix'!$B$6:$B$155,A71,'Risk-Control Matrix'!$O$6:$O$155,"Overdue"))</f>
        <v/>
      </c>
      <c r="J71" s="37" t="str">
        <f>IF(A71="","",IF(D71=0,Methodology!$A$44,IF(E71=D71,Methodology!$A$41,IF((E71+0.5*F71)/D71&gt;=0.5,Methodology!$A$42,Methodology!$A$43))))</f>
        <v/>
      </c>
      <c r="K71" s="37" t="str">
        <f>IF(A71="","",'Risk Register'!J71&amp;"")</f>
        <v/>
      </c>
      <c r="L71" s="38" t="str">
        <f t="shared" si="4"/>
        <v/>
      </c>
      <c r="M71" s="38" t="str">
        <f t="shared" si="5"/>
        <v/>
      </c>
    </row>
    <row r="72" spans="1:13" x14ac:dyDescent="0.35">
      <c r="A72" s="38" t="str">
        <f>IF('Risk Register'!A72="","",'Risk Register'!A72)</f>
        <v/>
      </c>
      <c r="B72" s="44" t="str">
        <f>IF(A72="","",'Risk Register'!B72)</f>
        <v/>
      </c>
      <c r="C72" s="37" t="str">
        <f>IF(A72="","",'Risk Register'!P72)</f>
        <v/>
      </c>
      <c r="D72" s="37" t="str">
        <f>IF(A72="","",COUNTIF('Risk-Control Matrix'!$B$6:$B$155,A72))</f>
        <v/>
      </c>
      <c r="E72" s="37" t="str">
        <f>IF(A72="","",COUNTIFS('Risk-Control Matrix'!$B$6:$B$155,A72,'Risk-Control Matrix'!$N$6:$N$155,"Effective"))</f>
        <v/>
      </c>
      <c r="F72" s="37" t="str">
        <f>IF(A72="","",COUNTIFS('Risk-Control Matrix'!$B$6:$B$155,A72,'Risk-Control Matrix'!$N$6:$N$155,"Partially effective"))</f>
        <v/>
      </c>
      <c r="G72" s="37" t="str">
        <f>IF(A72="","",COUNTIFS('Risk-Control Matrix'!$B$6:$B$155,A72,'Risk-Control Matrix'!$N$6:$N$155,"Ineffective"))</f>
        <v/>
      </c>
      <c r="H72" s="37" t="str">
        <f>IF(A72="","",COUNTIFS('Risk-Control Matrix'!$B$6:$B$155,A72,'Risk-Control Matrix'!$N$6:$N$155,"Not tested"))</f>
        <v/>
      </c>
      <c r="I72" s="37" t="str">
        <f>IF(A72="","",COUNTIFS('Risk-Control Matrix'!$B$6:$B$155,A72,'Risk-Control Matrix'!$O$6:$O$155,"Overdue"))</f>
        <v/>
      </c>
      <c r="J72" s="37" t="str">
        <f>IF(A72="","",IF(D72=0,Methodology!$A$44,IF(E72=D72,Methodology!$A$41,IF((E72+0.5*F72)/D72&gt;=0.5,Methodology!$A$42,Methodology!$A$43))))</f>
        <v/>
      </c>
      <c r="K72" s="37" t="str">
        <f>IF(A72="","",'Risk Register'!J72&amp;"")</f>
        <v/>
      </c>
      <c r="L72" s="38" t="str">
        <f t="shared" si="4"/>
        <v/>
      </c>
      <c r="M72" s="38" t="str">
        <f t="shared" si="5"/>
        <v/>
      </c>
    </row>
    <row r="73" spans="1:13" x14ac:dyDescent="0.35">
      <c r="A73" s="38" t="str">
        <f>IF('Risk Register'!A73="","",'Risk Register'!A73)</f>
        <v/>
      </c>
      <c r="B73" s="44" t="str">
        <f>IF(A73="","",'Risk Register'!B73)</f>
        <v/>
      </c>
      <c r="C73" s="37" t="str">
        <f>IF(A73="","",'Risk Register'!P73)</f>
        <v/>
      </c>
      <c r="D73" s="37" t="str">
        <f>IF(A73="","",COUNTIF('Risk-Control Matrix'!$B$6:$B$155,A73))</f>
        <v/>
      </c>
      <c r="E73" s="37" t="str">
        <f>IF(A73="","",COUNTIFS('Risk-Control Matrix'!$B$6:$B$155,A73,'Risk-Control Matrix'!$N$6:$N$155,"Effective"))</f>
        <v/>
      </c>
      <c r="F73" s="37" t="str">
        <f>IF(A73="","",COUNTIFS('Risk-Control Matrix'!$B$6:$B$155,A73,'Risk-Control Matrix'!$N$6:$N$155,"Partially effective"))</f>
        <v/>
      </c>
      <c r="G73" s="37" t="str">
        <f>IF(A73="","",COUNTIFS('Risk-Control Matrix'!$B$6:$B$155,A73,'Risk-Control Matrix'!$N$6:$N$155,"Ineffective"))</f>
        <v/>
      </c>
      <c r="H73" s="37" t="str">
        <f>IF(A73="","",COUNTIFS('Risk-Control Matrix'!$B$6:$B$155,A73,'Risk-Control Matrix'!$N$6:$N$155,"Not tested"))</f>
        <v/>
      </c>
      <c r="I73" s="37" t="str">
        <f>IF(A73="","",COUNTIFS('Risk-Control Matrix'!$B$6:$B$155,A73,'Risk-Control Matrix'!$O$6:$O$155,"Overdue"))</f>
        <v/>
      </c>
      <c r="J73" s="37" t="str">
        <f>IF(A73="","",IF(D73=0,Methodology!$A$44,IF(E73=D73,Methodology!$A$41,IF((E73+0.5*F73)/D73&gt;=0.5,Methodology!$A$42,Methodology!$A$43))))</f>
        <v/>
      </c>
      <c r="K73" s="37" t="str">
        <f>IF(A73="","",'Risk Register'!J73&amp;"")</f>
        <v/>
      </c>
      <c r="L73" s="38" t="str">
        <f t="shared" si="4"/>
        <v/>
      </c>
      <c r="M73" s="38" t="str">
        <f t="shared" si="5"/>
        <v/>
      </c>
    </row>
    <row r="74" spans="1:13" x14ac:dyDescent="0.35">
      <c r="A74" s="38" t="str">
        <f>IF('Risk Register'!A74="","",'Risk Register'!A74)</f>
        <v/>
      </c>
      <c r="B74" s="44" t="str">
        <f>IF(A74="","",'Risk Register'!B74)</f>
        <v/>
      </c>
      <c r="C74" s="37" t="str">
        <f>IF(A74="","",'Risk Register'!P74)</f>
        <v/>
      </c>
      <c r="D74" s="37" t="str">
        <f>IF(A74="","",COUNTIF('Risk-Control Matrix'!$B$6:$B$155,A74))</f>
        <v/>
      </c>
      <c r="E74" s="37" t="str">
        <f>IF(A74="","",COUNTIFS('Risk-Control Matrix'!$B$6:$B$155,A74,'Risk-Control Matrix'!$N$6:$N$155,"Effective"))</f>
        <v/>
      </c>
      <c r="F74" s="37" t="str">
        <f>IF(A74="","",COUNTIFS('Risk-Control Matrix'!$B$6:$B$155,A74,'Risk-Control Matrix'!$N$6:$N$155,"Partially effective"))</f>
        <v/>
      </c>
      <c r="G74" s="37" t="str">
        <f>IF(A74="","",COUNTIFS('Risk-Control Matrix'!$B$6:$B$155,A74,'Risk-Control Matrix'!$N$6:$N$155,"Ineffective"))</f>
        <v/>
      </c>
      <c r="H74" s="37" t="str">
        <f>IF(A74="","",COUNTIFS('Risk-Control Matrix'!$B$6:$B$155,A74,'Risk-Control Matrix'!$N$6:$N$155,"Not tested"))</f>
        <v/>
      </c>
      <c r="I74" s="37" t="str">
        <f>IF(A74="","",COUNTIFS('Risk-Control Matrix'!$B$6:$B$155,A74,'Risk-Control Matrix'!$O$6:$O$155,"Overdue"))</f>
        <v/>
      </c>
      <c r="J74" s="37" t="str">
        <f>IF(A74="","",IF(D74=0,Methodology!$A$44,IF(E74=D74,Methodology!$A$41,IF((E74+0.5*F74)/D74&gt;=0.5,Methodology!$A$42,Methodology!$A$43))))</f>
        <v/>
      </c>
      <c r="K74" s="37" t="str">
        <f>IF(A74="","",'Risk Register'!J74&amp;"")</f>
        <v/>
      </c>
      <c r="L74" s="38" t="str">
        <f t="shared" si="4"/>
        <v/>
      </c>
      <c r="M74" s="38" t="str">
        <f t="shared" si="5"/>
        <v/>
      </c>
    </row>
    <row r="75" spans="1:13" x14ac:dyDescent="0.35">
      <c r="A75" s="38" t="str">
        <f>IF('Risk Register'!A75="","",'Risk Register'!A75)</f>
        <v/>
      </c>
      <c r="B75" s="44" t="str">
        <f>IF(A75="","",'Risk Register'!B75)</f>
        <v/>
      </c>
      <c r="C75" s="37" t="str">
        <f>IF(A75="","",'Risk Register'!P75)</f>
        <v/>
      </c>
      <c r="D75" s="37" t="str">
        <f>IF(A75="","",COUNTIF('Risk-Control Matrix'!$B$6:$B$155,A75))</f>
        <v/>
      </c>
      <c r="E75" s="37" t="str">
        <f>IF(A75="","",COUNTIFS('Risk-Control Matrix'!$B$6:$B$155,A75,'Risk-Control Matrix'!$N$6:$N$155,"Effective"))</f>
        <v/>
      </c>
      <c r="F75" s="37" t="str">
        <f>IF(A75="","",COUNTIFS('Risk-Control Matrix'!$B$6:$B$155,A75,'Risk-Control Matrix'!$N$6:$N$155,"Partially effective"))</f>
        <v/>
      </c>
      <c r="G75" s="37" t="str">
        <f>IF(A75="","",COUNTIFS('Risk-Control Matrix'!$B$6:$B$155,A75,'Risk-Control Matrix'!$N$6:$N$155,"Ineffective"))</f>
        <v/>
      </c>
      <c r="H75" s="37" t="str">
        <f>IF(A75="","",COUNTIFS('Risk-Control Matrix'!$B$6:$B$155,A75,'Risk-Control Matrix'!$N$6:$N$155,"Not tested"))</f>
        <v/>
      </c>
      <c r="I75" s="37" t="str">
        <f>IF(A75="","",COUNTIFS('Risk-Control Matrix'!$B$6:$B$155,A75,'Risk-Control Matrix'!$O$6:$O$155,"Overdue"))</f>
        <v/>
      </c>
      <c r="J75" s="37" t="str">
        <f>IF(A75="","",IF(D75=0,Methodology!$A$44,IF(E75=D75,Methodology!$A$41,IF((E75+0.5*F75)/D75&gt;=0.5,Methodology!$A$42,Methodology!$A$43))))</f>
        <v/>
      </c>
      <c r="K75" s="37" t="str">
        <f>IF(A75="","",'Risk Register'!J75&amp;"")</f>
        <v/>
      </c>
      <c r="L75" s="38" t="str">
        <f t="shared" si="4"/>
        <v/>
      </c>
      <c r="M75" s="38" t="str">
        <f t="shared" si="5"/>
        <v/>
      </c>
    </row>
    <row r="76" spans="1:13" x14ac:dyDescent="0.35">
      <c r="A76" s="38" t="str">
        <f>IF('Risk Register'!A76="","",'Risk Register'!A76)</f>
        <v/>
      </c>
      <c r="B76" s="44" t="str">
        <f>IF(A76="","",'Risk Register'!B76)</f>
        <v/>
      </c>
      <c r="C76" s="37" t="str">
        <f>IF(A76="","",'Risk Register'!P76)</f>
        <v/>
      </c>
      <c r="D76" s="37" t="str">
        <f>IF(A76="","",COUNTIF('Risk-Control Matrix'!$B$6:$B$155,A76))</f>
        <v/>
      </c>
      <c r="E76" s="37" t="str">
        <f>IF(A76="","",COUNTIFS('Risk-Control Matrix'!$B$6:$B$155,A76,'Risk-Control Matrix'!$N$6:$N$155,"Effective"))</f>
        <v/>
      </c>
      <c r="F76" s="37" t="str">
        <f>IF(A76="","",COUNTIFS('Risk-Control Matrix'!$B$6:$B$155,A76,'Risk-Control Matrix'!$N$6:$N$155,"Partially effective"))</f>
        <v/>
      </c>
      <c r="G76" s="37" t="str">
        <f>IF(A76="","",COUNTIFS('Risk-Control Matrix'!$B$6:$B$155,A76,'Risk-Control Matrix'!$N$6:$N$155,"Ineffective"))</f>
        <v/>
      </c>
      <c r="H76" s="37" t="str">
        <f>IF(A76="","",COUNTIFS('Risk-Control Matrix'!$B$6:$B$155,A76,'Risk-Control Matrix'!$N$6:$N$155,"Not tested"))</f>
        <v/>
      </c>
      <c r="I76" s="37" t="str">
        <f>IF(A76="","",COUNTIFS('Risk-Control Matrix'!$B$6:$B$155,A76,'Risk-Control Matrix'!$O$6:$O$155,"Overdue"))</f>
        <v/>
      </c>
      <c r="J76" s="37" t="str">
        <f>IF(A76="","",IF(D76=0,Methodology!$A$44,IF(E76=D76,Methodology!$A$41,IF((E76+0.5*F76)/D76&gt;=0.5,Methodology!$A$42,Methodology!$A$43))))</f>
        <v/>
      </c>
      <c r="K76" s="37" t="str">
        <f>IF(A76="","",'Risk Register'!J76&amp;"")</f>
        <v/>
      </c>
      <c r="L76" s="38" t="str">
        <f t="shared" si="4"/>
        <v/>
      </c>
      <c r="M76" s="38" t="str">
        <f t="shared" si="5"/>
        <v/>
      </c>
    </row>
    <row r="77" spans="1:13" x14ac:dyDescent="0.35">
      <c r="A77" s="38" t="str">
        <f>IF('Risk Register'!A77="","",'Risk Register'!A77)</f>
        <v/>
      </c>
      <c r="B77" s="44" t="str">
        <f>IF(A77="","",'Risk Register'!B77)</f>
        <v/>
      </c>
      <c r="C77" s="37" t="str">
        <f>IF(A77="","",'Risk Register'!P77)</f>
        <v/>
      </c>
      <c r="D77" s="37" t="str">
        <f>IF(A77="","",COUNTIF('Risk-Control Matrix'!$B$6:$B$155,A77))</f>
        <v/>
      </c>
      <c r="E77" s="37" t="str">
        <f>IF(A77="","",COUNTIFS('Risk-Control Matrix'!$B$6:$B$155,A77,'Risk-Control Matrix'!$N$6:$N$155,"Effective"))</f>
        <v/>
      </c>
      <c r="F77" s="37" t="str">
        <f>IF(A77="","",COUNTIFS('Risk-Control Matrix'!$B$6:$B$155,A77,'Risk-Control Matrix'!$N$6:$N$155,"Partially effective"))</f>
        <v/>
      </c>
      <c r="G77" s="37" t="str">
        <f>IF(A77="","",COUNTIFS('Risk-Control Matrix'!$B$6:$B$155,A77,'Risk-Control Matrix'!$N$6:$N$155,"Ineffective"))</f>
        <v/>
      </c>
      <c r="H77" s="37" t="str">
        <f>IF(A77="","",COUNTIFS('Risk-Control Matrix'!$B$6:$B$155,A77,'Risk-Control Matrix'!$N$6:$N$155,"Not tested"))</f>
        <v/>
      </c>
      <c r="I77" s="37" t="str">
        <f>IF(A77="","",COUNTIFS('Risk-Control Matrix'!$B$6:$B$155,A77,'Risk-Control Matrix'!$O$6:$O$155,"Overdue"))</f>
        <v/>
      </c>
      <c r="J77" s="37" t="str">
        <f>IF(A77="","",IF(D77=0,Methodology!$A$44,IF(E77=D77,Methodology!$A$41,IF((E77+0.5*F77)/D77&gt;=0.5,Methodology!$A$42,Methodology!$A$43))))</f>
        <v/>
      </c>
      <c r="K77" s="37" t="str">
        <f>IF(A77="","",'Risk Register'!J77&amp;"")</f>
        <v/>
      </c>
      <c r="L77" s="38" t="str">
        <f t="shared" si="4"/>
        <v/>
      </c>
      <c r="M77" s="38" t="str">
        <f t="shared" si="5"/>
        <v/>
      </c>
    </row>
    <row r="78" spans="1:13" x14ac:dyDescent="0.35">
      <c r="A78" s="38" t="str">
        <f>IF('Risk Register'!A78="","",'Risk Register'!A78)</f>
        <v/>
      </c>
      <c r="B78" s="44" t="str">
        <f>IF(A78="","",'Risk Register'!B78)</f>
        <v/>
      </c>
      <c r="C78" s="37" t="str">
        <f>IF(A78="","",'Risk Register'!P78)</f>
        <v/>
      </c>
      <c r="D78" s="37" t="str">
        <f>IF(A78="","",COUNTIF('Risk-Control Matrix'!$B$6:$B$155,A78))</f>
        <v/>
      </c>
      <c r="E78" s="37" t="str">
        <f>IF(A78="","",COUNTIFS('Risk-Control Matrix'!$B$6:$B$155,A78,'Risk-Control Matrix'!$N$6:$N$155,"Effective"))</f>
        <v/>
      </c>
      <c r="F78" s="37" t="str">
        <f>IF(A78="","",COUNTIFS('Risk-Control Matrix'!$B$6:$B$155,A78,'Risk-Control Matrix'!$N$6:$N$155,"Partially effective"))</f>
        <v/>
      </c>
      <c r="G78" s="37" t="str">
        <f>IF(A78="","",COUNTIFS('Risk-Control Matrix'!$B$6:$B$155,A78,'Risk-Control Matrix'!$N$6:$N$155,"Ineffective"))</f>
        <v/>
      </c>
      <c r="H78" s="37" t="str">
        <f>IF(A78="","",COUNTIFS('Risk-Control Matrix'!$B$6:$B$155,A78,'Risk-Control Matrix'!$N$6:$N$155,"Not tested"))</f>
        <v/>
      </c>
      <c r="I78" s="37" t="str">
        <f>IF(A78="","",COUNTIFS('Risk-Control Matrix'!$B$6:$B$155,A78,'Risk-Control Matrix'!$O$6:$O$155,"Overdue"))</f>
        <v/>
      </c>
      <c r="J78" s="37" t="str">
        <f>IF(A78="","",IF(D78=0,Methodology!$A$44,IF(E78=D78,Methodology!$A$41,IF((E78+0.5*F78)/D78&gt;=0.5,Methodology!$A$42,Methodology!$A$43))))</f>
        <v/>
      </c>
      <c r="K78" s="37" t="str">
        <f>IF(A78="","",'Risk Register'!J78&amp;"")</f>
        <v/>
      </c>
      <c r="L78" s="38" t="str">
        <f t="shared" si="4"/>
        <v/>
      </c>
      <c r="M78" s="38" t="str">
        <f t="shared" si="5"/>
        <v/>
      </c>
    </row>
    <row r="79" spans="1:13" x14ac:dyDescent="0.35">
      <c r="A79" s="38" t="str">
        <f>IF('Risk Register'!A79="","",'Risk Register'!A79)</f>
        <v/>
      </c>
      <c r="B79" s="44" t="str">
        <f>IF(A79="","",'Risk Register'!B79)</f>
        <v/>
      </c>
      <c r="C79" s="37" t="str">
        <f>IF(A79="","",'Risk Register'!P79)</f>
        <v/>
      </c>
      <c r="D79" s="37" t="str">
        <f>IF(A79="","",COUNTIF('Risk-Control Matrix'!$B$6:$B$155,A79))</f>
        <v/>
      </c>
      <c r="E79" s="37" t="str">
        <f>IF(A79="","",COUNTIFS('Risk-Control Matrix'!$B$6:$B$155,A79,'Risk-Control Matrix'!$N$6:$N$155,"Effective"))</f>
        <v/>
      </c>
      <c r="F79" s="37" t="str">
        <f>IF(A79="","",COUNTIFS('Risk-Control Matrix'!$B$6:$B$155,A79,'Risk-Control Matrix'!$N$6:$N$155,"Partially effective"))</f>
        <v/>
      </c>
      <c r="G79" s="37" t="str">
        <f>IF(A79="","",COUNTIFS('Risk-Control Matrix'!$B$6:$B$155,A79,'Risk-Control Matrix'!$N$6:$N$155,"Ineffective"))</f>
        <v/>
      </c>
      <c r="H79" s="37" t="str">
        <f>IF(A79="","",COUNTIFS('Risk-Control Matrix'!$B$6:$B$155,A79,'Risk-Control Matrix'!$N$6:$N$155,"Not tested"))</f>
        <v/>
      </c>
      <c r="I79" s="37" t="str">
        <f>IF(A79="","",COUNTIFS('Risk-Control Matrix'!$B$6:$B$155,A79,'Risk-Control Matrix'!$O$6:$O$155,"Overdue"))</f>
        <v/>
      </c>
      <c r="J79" s="37" t="str">
        <f>IF(A79="","",IF(D79=0,Methodology!$A$44,IF(E79=D79,Methodology!$A$41,IF((E79+0.5*F79)/D79&gt;=0.5,Methodology!$A$42,Methodology!$A$43))))</f>
        <v/>
      </c>
      <c r="K79" s="37" t="str">
        <f>IF(A79="","",'Risk Register'!J79&amp;"")</f>
        <v/>
      </c>
      <c r="L79" s="38" t="str">
        <f t="shared" si="4"/>
        <v/>
      </c>
      <c r="M79" s="38" t="str">
        <f t="shared" si="5"/>
        <v/>
      </c>
    </row>
    <row r="80" spans="1:13" x14ac:dyDescent="0.35">
      <c r="A80" s="38" t="str">
        <f>IF('Risk Register'!A80="","",'Risk Register'!A80)</f>
        <v/>
      </c>
      <c r="B80" s="44" t="str">
        <f>IF(A80="","",'Risk Register'!B80)</f>
        <v/>
      </c>
      <c r="C80" s="37" t="str">
        <f>IF(A80="","",'Risk Register'!P80)</f>
        <v/>
      </c>
      <c r="D80" s="37" t="str">
        <f>IF(A80="","",COUNTIF('Risk-Control Matrix'!$B$6:$B$155,A80))</f>
        <v/>
      </c>
      <c r="E80" s="37" t="str">
        <f>IF(A80="","",COUNTIFS('Risk-Control Matrix'!$B$6:$B$155,A80,'Risk-Control Matrix'!$N$6:$N$155,"Effective"))</f>
        <v/>
      </c>
      <c r="F80" s="37" t="str">
        <f>IF(A80="","",COUNTIFS('Risk-Control Matrix'!$B$6:$B$155,A80,'Risk-Control Matrix'!$N$6:$N$155,"Partially effective"))</f>
        <v/>
      </c>
      <c r="G80" s="37" t="str">
        <f>IF(A80="","",COUNTIFS('Risk-Control Matrix'!$B$6:$B$155,A80,'Risk-Control Matrix'!$N$6:$N$155,"Ineffective"))</f>
        <v/>
      </c>
      <c r="H80" s="37" t="str">
        <f>IF(A80="","",COUNTIFS('Risk-Control Matrix'!$B$6:$B$155,A80,'Risk-Control Matrix'!$N$6:$N$155,"Not tested"))</f>
        <v/>
      </c>
      <c r="I80" s="37" t="str">
        <f>IF(A80="","",COUNTIFS('Risk-Control Matrix'!$B$6:$B$155,A80,'Risk-Control Matrix'!$O$6:$O$155,"Overdue"))</f>
        <v/>
      </c>
      <c r="J80" s="37" t="str">
        <f>IF(A80="","",IF(D80=0,Methodology!$A$44,IF(E80=D80,Methodology!$A$41,IF((E80+0.5*F80)/D80&gt;=0.5,Methodology!$A$42,Methodology!$A$43))))</f>
        <v/>
      </c>
      <c r="K80" s="37" t="str">
        <f>IF(A80="","",'Risk Register'!J80&amp;"")</f>
        <v/>
      </c>
      <c r="L80" s="38" t="str">
        <f t="shared" si="4"/>
        <v/>
      </c>
      <c r="M80" s="38" t="str">
        <f t="shared" si="5"/>
        <v/>
      </c>
    </row>
    <row r="81" spans="1:13" x14ac:dyDescent="0.35">
      <c r="A81" s="38" t="str">
        <f>IF('Risk Register'!A81="","",'Risk Register'!A81)</f>
        <v/>
      </c>
      <c r="B81" s="44" t="str">
        <f>IF(A81="","",'Risk Register'!B81)</f>
        <v/>
      </c>
      <c r="C81" s="37" t="str">
        <f>IF(A81="","",'Risk Register'!P81)</f>
        <v/>
      </c>
      <c r="D81" s="37" t="str">
        <f>IF(A81="","",COUNTIF('Risk-Control Matrix'!$B$6:$B$155,A81))</f>
        <v/>
      </c>
      <c r="E81" s="37" t="str">
        <f>IF(A81="","",COUNTIFS('Risk-Control Matrix'!$B$6:$B$155,A81,'Risk-Control Matrix'!$N$6:$N$155,"Effective"))</f>
        <v/>
      </c>
      <c r="F81" s="37" t="str">
        <f>IF(A81="","",COUNTIFS('Risk-Control Matrix'!$B$6:$B$155,A81,'Risk-Control Matrix'!$N$6:$N$155,"Partially effective"))</f>
        <v/>
      </c>
      <c r="G81" s="37" t="str">
        <f>IF(A81="","",COUNTIFS('Risk-Control Matrix'!$B$6:$B$155,A81,'Risk-Control Matrix'!$N$6:$N$155,"Ineffective"))</f>
        <v/>
      </c>
      <c r="H81" s="37" t="str">
        <f>IF(A81="","",COUNTIFS('Risk-Control Matrix'!$B$6:$B$155,A81,'Risk-Control Matrix'!$N$6:$N$155,"Not tested"))</f>
        <v/>
      </c>
      <c r="I81" s="37" t="str">
        <f>IF(A81="","",COUNTIFS('Risk-Control Matrix'!$B$6:$B$155,A81,'Risk-Control Matrix'!$O$6:$O$155,"Overdue"))</f>
        <v/>
      </c>
      <c r="J81" s="37" t="str">
        <f>IF(A81="","",IF(D81=0,Methodology!$A$44,IF(E81=D81,Methodology!$A$41,IF((E81+0.5*F81)/D81&gt;=0.5,Methodology!$A$42,Methodology!$A$43))))</f>
        <v/>
      </c>
      <c r="K81" s="37" t="str">
        <f>IF(A81="","",'Risk Register'!J81&amp;"")</f>
        <v/>
      </c>
      <c r="L81" s="38" t="str">
        <f t="shared" si="4"/>
        <v/>
      </c>
      <c r="M81" s="38" t="str">
        <f t="shared" si="5"/>
        <v/>
      </c>
    </row>
    <row r="82" spans="1:13" x14ac:dyDescent="0.35">
      <c r="A82" s="38" t="str">
        <f>IF('Risk Register'!A82="","",'Risk Register'!A82)</f>
        <v/>
      </c>
      <c r="B82" s="44" t="str">
        <f>IF(A82="","",'Risk Register'!B82)</f>
        <v/>
      </c>
      <c r="C82" s="37" t="str">
        <f>IF(A82="","",'Risk Register'!P82)</f>
        <v/>
      </c>
      <c r="D82" s="37" t="str">
        <f>IF(A82="","",COUNTIF('Risk-Control Matrix'!$B$6:$B$155,A82))</f>
        <v/>
      </c>
      <c r="E82" s="37" t="str">
        <f>IF(A82="","",COUNTIFS('Risk-Control Matrix'!$B$6:$B$155,A82,'Risk-Control Matrix'!$N$6:$N$155,"Effective"))</f>
        <v/>
      </c>
      <c r="F82" s="37" t="str">
        <f>IF(A82="","",COUNTIFS('Risk-Control Matrix'!$B$6:$B$155,A82,'Risk-Control Matrix'!$N$6:$N$155,"Partially effective"))</f>
        <v/>
      </c>
      <c r="G82" s="37" t="str">
        <f>IF(A82="","",COUNTIFS('Risk-Control Matrix'!$B$6:$B$155,A82,'Risk-Control Matrix'!$N$6:$N$155,"Ineffective"))</f>
        <v/>
      </c>
      <c r="H82" s="37" t="str">
        <f>IF(A82="","",COUNTIFS('Risk-Control Matrix'!$B$6:$B$155,A82,'Risk-Control Matrix'!$N$6:$N$155,"Not tested"))</f>
        <v/>
      </c>
      <c r="I82" s="37" t="str">
        <f>IF(A82="","",COUNTIFS('Risk-Control Matrix'!$B$6:$B$155,A82,'Risk-Control Matrix'!$O$6:$O$155,"Overdue"))</f>
        <v/>
      </c>
      <c r="J82" s="37" t="str">
        <f>IF(A82="","",IF(D82=0,Methodology!$A$44,IF(E82=D82,Methodology!$A$41,IF((E82+0.5*F82)/D82&gt;=0.5,Methodology!$A$42,Methodology!$A$43))))</f>
        <v/>
      </c>
      <c r="K82" s="37" t="str">
        <f>IF(A82="","",'Risk Register'!J82&amp;"")</f>
        <v/>
      </c>
      <c r="L82" s="38" t="str">
        <f t="shared" si="4"/>
        <v/>
      </c>
      <c r="M82" s="38" t="str">
        <f t="shared" si="5"/>
        <v/>
      </c>
    </row>
    <row r="83" spans="1:13" x14ac:dyDescent="0.35">
      <c r="A83" s="38" t="str">
        <f>IF('Risk Register'!A83="","",'Risk Register'!A83)</f>
        <v/>
      </c>
      <c r="B83" s="44" t="str">
        <f>IF(A83="","",'Risk Register'!B83)</f>
        <v/>
      </c>
      <c r="C83" s="37" t="str">
        <f>IF(A83="","",'Risk Register'!P83)</f>
        <v/>
      </c>
      <c r="D83" s="37" t="str">
        <f>IF(A83="","",COUNTIF('Risk-Control Matrix'!$B$6:$B$155,A83))</f>
        <v/>
      </c>
      <c r="E83" s="37" t="str">
        <f>IF(A83="","",COUNTIFS('Risk-Control Matrix'!$B$6:$B$155,A83,'Risk-Control Matrix'!$N$6:$N$155,"Effective"))</f>
        <v/>
      </c>
      <c r="F83" s="37" t="str">
        <f>IF(A83="","",COUNTIFS('Risk-Control Matrix'!$B$6:$B$155,A83,'Risk-Control Matrix'!$N$6:$N$155,"Partially effective"))</f>
        <v/>
      </c>
      <c r="G83" s="37" t="str">
        <f>IF(A83="","",COUNTIFS('Risk-Control Matrix'!$B$6:$B$155,A83,'Risk-Control Matrix'!$N$6:$N$155,"Ineffective"))</f>
        <v/>
      </c>
      <c r="H83" s="37" t="str">
        <f>IF(A83="","",COUNTIFS('Risk-Control Matrix'!$B$6:$B$155,A83,'Risk-Control Matrix'!$N$6:$N$155,"Not tested"))</f>
        <v/>
      </c>
      <c r="I83" s="37" t="str">
        <f>IF(A83="","",COUNTIFS('Risk-Control Matrix'!$B$6:$B$155,A83,'Risk-Control Matrix'!$O$6:$O$155,"Overdue"))</f>
        <v/>
      </c>
      <c r="J83" s="37" t="str">
        <f>IF(A83="","",IF(D83=0,Methodology!$A$44,IF(E83=D83,Methodology!$A$41,IF((E83+0.5*F83)/D83&gt;=0.5,Methodology!$A$42,Methodology!$A$43))))</f>
        <v/>
      </c>
      <c r="K83" s="37" t="str">
        <f>IF(A83="","",'Risk Register'!J83&amp;"")</f>
        <v/>
      </c>
      <c r="L83" s="38" t="str">
        <f t="shared" si="4"/>
        <v/>
      </c>
      <c r="M83" s="38" t="str">
        <f t="shared" si="5"/>
        <v/>
      </c>
    </row>
    <row r="84" spans="1:13" x14ac:dyDescent="0.35">
      <c r="A84" s="38" t="str">
        <f>IF('Risk Register'!A84="","",'Risk Register'!A84)</f>
        <v/>
      </c>
      <c r="B84" s="44" t="str">
        <f>IF(A84="","",'Risk Register'!B84)</f>
        <v/>
      </c>
      <c r="C84" s="37" t="str">
        <f>IF(A84="","",'Risk Register'!P84)</f>
        <v/>
      </c>
      <c r="D84" s="37" t="str">
        <f>IF(A84="","",COUNTIF('Risk-Control Matrix'!$B$6:$B$155,A84))</f>
        <v/>
      </c>
      <c r="E84" s="37" t="str">
        <f>IF(A84="","",COUNTIFS('Risk-Control Matrix'!$B$6:$B$155,A84,'Risk-Control Matrix'!$N$6:$N$155,"Effective"))</f>
        <v/>
      </c>
      <c r="F84" s="37" t="str">
        <f>IF(A84="","",COUNTIFS('Risk-Control Matrix'!$B$6:$B$155,A84,'Risk-Control Matrix'!$N$6:$N$155,"Partially effective"))</f>
        <v/>
      </c>
      <c r="G84" s="37" t="str">
        <f>IF(A84="","",COUNTIFS('Risk-Control Matrix'!$B$6:$B$155,A84,'Risk-Control Matrix'!$N$6:$N$155,"Ineffective"))</f>
        <v/>
      </c>
      <c r="H84" s="37" t="str">
        <f>IF(A84="","",COUNTIFS('Risk-Control Matrix'!$B$6:$B$155,A84,'Risk-Control Matrix'!$N$6:$N$155,"Not tested"))</f>
        <v/>
      </c>
      <c r="I84" s="37" t="str">
        <f>IF(A84="","",COUNTIFS('Risk-Control Matrix'!$B$6:$B$155,A84,'Risk-Control Matrix'!$O$6:$O$155,"Overdue"))</f>
        <v/>
      </c>
      <c r="J84" s="37" t="str">
        <f>IF(A84="","",IF(D84=0,Methodology!$A$44,IF(E84=D84,Methodology!$A$41,IF((E84+0.5*F84)/D84&gt;=0.5,Methodology!$A$42,Methodology!$A$43))))</f>
        <v/>
      </c>
      <c r="K84" s="37" t="str">
        <f>IF(A84="","",'Risk Register'!J84&amp;"")</f>
        <v/>
      </c>
      <c r="L84" s="38" t="str">
        <f t="shared" si="4"/>
        <v/>
      </c>
      <c r="M84" s="38" t="str">
        <f t="shared" si="5"/>
        <v/>
      </c>
    </row>
    <row r="85" spans="1:13" x14ac:dyDescent="0.35">
      <c r="A85" s="38" t="str">
        <f>IF('Risk Register'!A85="","",'Risk Register'!A85)</f>
        <v/>
      </c>
      <c r="B85" s="44" t="str">
        <f>IF(A85="","",'Risk Register'!B85)</f>
        <v/>
      </c>
      <c r="C85" s="37" t="str">
        <f>IF(A85="","",'Risk Register'!P85)</f>
        <v/>
      </c>
      <c r="D85" s="37" t="str">
        <f>IF(A85="","",COUNTIF('Risk-Control Matrix'!$B$6:$B$155,A85))</f>
        <v/>
      </c>
      <c r="E85" s="37" t="str">
        <f>IF(A85="","",COUNTIFS('Risk-Control Matrix'!$B$6:$B$155,A85,'Risk-Control Matrix'!$N$6:$N$155,"Effective"))</f>
        <v/>
      </c>
      <c r="F85" s="37" t="str">
        <f>IF(A85="","",COUNTIFS('Risk-Control Matrix'!$B$6:$B$155,A85,'Risk-Control Matrix'!$N$6:$N$155,"Partially effective"))</f>
        <v/>
      </c>
      <c r="G85" s="37" t="str">
        <f>IF(A85="","",COUNTIFS('Risk-Control Matrix'!$B$6:$B$155,A85,'Risk-Control Matrix'!$N$6:$N$155,"Ineffective"))</f>
        <v/>
      </c>
      <c r="H85" s="37" t="str">
        <f>IF(A85="","",COUNTIFS('Risk-Control Matrix'!$B$6:$B$155,A85,'Risk-Control Matrix'!$N$6:$N$155,"Not tested"))</f>
        <v/>
      </c>
      <c r="I85" s="37" t="str">
        <f>IF(A85="","",COUNTIFS('Risk-Control Matrix'!$B$6:$B$155,A85,'Risk-Control Matrix'!$O$6:$O$155,"Overdue"))</f>
        <v/>
      </c>
      <c r="J85" s="37" t="str">
        <f>IF(A85="","",IF(D85=0,Methodology!$A$44,IF(E85=D85,Methodology!$A$41,IF((E85+0.5*F85)/D85&gt;=0.5,Methodology!$A$42,Methodology!$A$43))))</f>
        <v/>
      </c>
      <c r="K85" s="37" t="str">
        <f>IF(A85="","",'Risk Register'!J85&amp;"")</f>
        <v/>
      </c>
      <c r="L85" s="38" t="str">
        <f t="shared" si="4"/>
        <v/>
      </c>
      <c r="M85" s="38" t="str">
        <f t="shared" si="5"/>
        <v/>
      </c>
    </row>
    <row r="86" spans="1:13" x14ac:dyDescent="0.35">
      <c r="A86" s="38" t="str">
        <f>IF('Risk Register'!A86="","",'Risk Register'!A86)</f>
        <v/>
      </c>
      <c r="B86" s="44" t="str">
        <f>IF(A86="","",'Risk Register'!B86)</f>
        <v/>
      </c>
      <c r="C86" s="37" t="str">
        <f>IF(A86="","",'Risk Register'!P86)</f>
        <v/>
      </c>
      <c r="D86" s="37" t="str">
        <f>IF(A86="","",COUNTIF('Risk-Control Matrix'!$B$6:$B$155,A86))</f>
        <v/>
      </c>
      <c r="E86" s="37" t="str">
        <f>IF(A86="","",COUNTIFS('Risk-Control Matrix'!$B$6:$B$155,A86,'Risk-Control Matrix'!$N$6:$N$155,"Effective"))</f>
        <v/>
      </c>
      <c r="F86" s="37" t="str">
        <f>IF(A86="","",COUNTIFS('Risk-Control Matrix'!$B$6:$B$155,A86,'Risk-Control Matrix'!$N$6:$N$155,"Partially effective"))</f>
        <v/>
      </c>
      <c r="G86" s="37" t="str">
        <f>IF(A86="","",COUNTIFS('Risk-Control Matrix'!$B$6:$B$155,A86,'Risk-Control Matrix'!$N$6:$N$155,"Ineffective"))</f>
        <v/>
      </c>
      <c r="H86" s="37" t="str">
        <f>IF(A86="","",COUNTIFS('Risk-Control Matrix'!$B$6:$B$155,A86,'Risk-Control Matrix'!$N$6:$N$155,"Not tested"))</f>
        <v/>
      </c>
      <c r="I86" s="37" t="str">
        <f>IF(A86="","",COUNTIFS('Risk-Control Matrix'!$B$6:$B$155,A86,'Risk-Control Matrix'!$O$6:$O$155,"Overdue"))</f>
        <v/>
      </c>
      <c r="J86" s="37" t="str">
        <f>IF(A86="","",IF(D86=0,Methodology!$A$44,IF(E86=D86,Methodology!$A$41,IF((E86+0.5*F86)/D86&gt;=0.5,Methodology!$A$42,Methodology!$A$43))))</f>
        <v/>
      </c>
      <c r="K86" s="37" t="str">
        <f>IF(A86="","",'Risk Register'!J86&amp;"")</f>
        <v/>
      </c>
      <c r="L86" s="38" t="str">
        <f t="shared" si="4"/>
        <v/>
      </c>
      <c r="M86" s="38" t="str">
        <f t="shared" si="5"/>
        <v/>
      </c>
    </row>
    <row r="87" spans="1:13" x14ac:dyDescent="0.35">
      <c r="A87" s="38" t="str">
        <f>IF('Risk Register'!A87="","",'Risk Register'!A87)</f>
        <v/>
      </c>
      <c r="B87" s="44" t="str">
        <f>IF(A87="","",'Risk Register'!B87)</f>
        <v/>
      </c>
      <c r="C87" s="37" t="str">
        <f>IF(A87="","",'Risk Register'!P87)</f>
        <v/>
      </c>
      <c r="D87" s="37" t="str">
        <f>IF(A87="","",COUNTIF('Risk-Control Matrix'!$B$6:$B$155,A87))</f>
        <v/>
      </c>
      <c r="E87" s="37" t="str">
        <f>IF(A87="","",COUNTIFS('Risk-Control Matrix'!$B$6:$B$155,A87,'Risk-Control Matrix'!$N$6:$N$155,"Effective"))</f>
        <v/>
      </c>
      <c r="F87" s="37" t="str">
        <f>IF(A87="","",COUNTIFS('Risk-Control Matrix'!$B$6:$B$155,A87,'Risk-Control Matrix'!$N$6:$N$155,"Partially effective"))</f>
        <v/>
      </c>
      <c r="G87" s="37" t="str">
        <f>IF(A87="","",COUNTIFS('Risk-Control Matrix'!$B$6:$B$155,A87,'Risk-Control Matrix'!$N$6:$N$155,"Ineffective"))</f>
        <v/>
      </c>
      <c r="H87" s="37" t="str">
        <f>IF(A87="","",COUNTIFS('Risk-Control Matrix'!$B$6:$B$155,A87,'Risk-Control Matrix'!$N$6:$N$155,"Not tested"))</f>
        <v/>
      </c>
      <c r="I87" s="37" t="str">
        <f>IF(A87="","",COUNTIFS('Risk-Control Matrix'!$B$6:$B$155,A87,'Risk-Control Matrix'!$O$6:$O$155,"Overdue"))</f>
        <v/>
      </c>
      <c r="J87" s="37" t="str">
        <f>IF(A87="","",IF(D87=0,Methodology!$A$44,IF(E87=D87,Methodology!$A$41,IF((E87+0.5*F87)/D87&gt;=0.5,Methodology!$A$42,Methodology!$A$43))))</f>
        <v/>
      </c>
      <c r="K87" s="37" t="str">
        <f>IF(A87="","",'Risk Register'!J87&amp;"")</f>
        <v/>
      </c>
      <c r="L87" s="38" t="str">
        <f t="shared" si="4"/>
        <v/>
      </c>
      <c r="M87" s="38" t="str">
        <f t="shared" si="5"/>
        <v/>
      </c>
    </row>
    <row r="88" spans="1:13" x14ac:dyDescent="0.35">
      <c r="A88" s="38" t="str">
        <f>IF('Risk Register'!A88="","",'Risk Register'!A88)</f>
        <v/>
      </c>
      <c r="B88" s="44" t="str">
        <f>IF(A88="","",'Risk Register'!B88)</f>
        <v/>
      </c>
      <c r="C88" s="37" t="str">
        <f>IF(A88="","",'Risk Register'!P88)</f>
        <v/>
      </c>
      <c r="D88" s="37" t="str">
        <f>IF(A88="","",COUNTIF('Risk-Control Matrix'!$B$6:$B$155,A88))</f>
        <v/>
      </c>
      <c r="E88" s="37" t="str">
        <f>IF(A88="","",COUNTIFS('Risk-Control Matrix'!$B$6:$B$155,A88,'Risk-Control Matrix'!$N$6:$N$155,"Effective"))</f>
        <v/>
      </c>
      <c r="F88" s="37" t="str">
        <f>IF(A88="","",COUNTIFS('Risk-Control Matrix'!$B$6:$B$155,A88,'Risk-Control Matrix'!$N$6:$N$155,"Partially effective"))</f>
        <v/>
      </c>
      <c r="G88" s="37" t="str">
        <f>IF(A88="","",COUNTIFS('Risk-Control Matrix'!$B$6:$B$155,A88,'Risk-Control Matrix'!$N$6:$N$155,"Ineffective"))</f>
        <v/>
      </c>
      <c r="H88" s="37" t="str">
        <f>IF(A88="","",COUNTIFS('Risk-Control Matrix'!$B$6:$B$155,A88,'Risk-Control Matrix'!$N$6:$N$155,"Not tested"))</f>
        <v/>
      </c>
      <c r="I88" s="37" t="str">
        <f>IF(A88="","",COUNTIFS('Risk-Control Matrix'!$B$6:$B$155,A88,'Risk-Control Matrix'!$O$6:$O$155,"Overdue"))</f>
        <v/>
      </c>
      <c r="J88" s="37" t="str">
        <f>IF(A88="","",IF(D88=0,Methodology!$A$44,IF(E88=D88,Methodology!$A$41,IF((E88+0.5*F88)/D88&gt;=0.5,Methodology!$A$42,Methodology!$A$43))))</f>
        <v/>
      </c>
      <c r="K88" s="37" t="str">
        <f>IF(A88="","",'Risk Register'!J88&amp;"")</f>
        <v/>
      </c>
      <c r="L88" s="38" t="str">
        <f t="shared" si="4"/>
        <v/>
      </c>
      <c r="M88" s="38" t="str">
        <f t="shared" si="5"/>
        <v/>
      </c>
    </row>
    <row r="89" spans="1:13" x14ac:dyDescent="0.35">
      <c r="A89" s="38" t="str">
        <f>IF('Risk Register'!A89="","",'Risk Register'!A89)</f>
        <v/>
      </c>
      <c r="B89" s="44" t="str">
        <f>IF(A89="","",'Risk Register'!B89)</f>
        <v/>
      </c>
      <c r="C89" s="37" t="str">
        <f>IF(A89="","",'Risk Register'!P89)</f>
        <v/>
      </c>
      <c r="D89" s="37" t="str">
        <f>IF(A89="","",COUNTIF('Risk-Control Matrix'!$B$6:$B$155,A89))</f>
        <v/>
      </c>
      <c r="E89" s="37" t="str">
        <f>IF(A89="","",COUNTIFS('Risk-Control Matrix'!$B$6:$B$155,A89,'Risk-Control Matrix'!$N$6:$N$155,"Effective"))</f>
        <v/>
      </c>
      <c r="F89" s="37" t="str">
        <f>IF(A89="","",COUNTIFS('Risk-Control Matrix'!$B$6:$B$155,A89,'Risk-Control Matrix'!$N$6:$N$155,"Partially effective"))</f>
        <v/>
      </c>
      <c r="G89" s="37" t="str">
        <f>IF(A89="","",COUNTIFS('Risk-Control Matrix'!$B$6:$B$155,A89,'Risk-Control Matrix'!$N$6:$N$155,"Ineffective"))</f>
        <v/>
      </c>
      <c r="H89" s="37" t="str">
        <f>IF(A89="","",COUNTIFS('Risk-Control Matrix'!$B$6:$B$155,A89,'Risk-Control Matrix'!$N$6:$N$155,"Not tested"))</f>
        <v/>
      </c>
      <c r="I89" s="37" t="str">
        <f>IF(A89="","",COUNTIFS('Risk-Control Matrix'!$B$6:$B$155,A89,'Risk-Control Matrix'!$O$6:$O$155,"Overdue"))</f>
        <v/>
      </c>
      <c r="J89" s="37" t="str">
        <f>IF(A89="","",IF(D89=0,Methodology!$A$44,IF(E89=D89,Methodology!$A$41,IF((E89+0.5*F89)/D89&gt;=0.5,Methodology!$A$42,Methodology!$A$43))))</f>
        <v/>
      </c>
      <c r="K89" s="37" t="str">
        <f>IF(A89="","",'Risk Register'!J89&amp;"")</f>
        <v/>
      </c>
      <c r="L89" s="38" t="str">
        <f t="shared" si="4"/>
        <v/>
      </c>
      <c r="M89" s="38" t="str">
        <f t="shared" si="5"/>
        <v/>
      </c>
    </row>
    <row r="90" spans="1:13" x14ac:dyDescent="0.35">
      <c r="A90" s="38" t="str">
        <f>IF('Risk Register'!A90="","",'Risk Register'!A90)</f>
        <v/>
      </c>
      <c r="B90" s="44" t="str">
        <f>IF(A90="","",'Risk Register'!B90)</f>
        <v/>
      </c>
      <c r="C90" s="37" t="str">
        <f>IF(A90="","",'Risk Register'!P90)</f>
        <v/>
      </c>
      <c r="D90" s="37" t="str">
        <f>IF(A90="","",COUNTIF('Risk-Control Matrix'!$B$6:$B$155,A90))</f>
        <v/>
      </c>
      <c r="E90" s="37" t="str">
        <f>IF(A90="","",COUNTIFS('Risk-Control Matrix'!$B$6:$B$155,A90,'Risk-Control Matrix'!$N$6:$N$155,"Effective"))</f>
        <v/>
      </c>
      <c r="F90" s="37" t="str">
        <f>IF(A90="","",COUNTIFS('Risk-Control Matrix'!$B$6:$B$155,A90,'Risk-Control Matrix'!$N$6:$N$155,"Partially effective"))</f>
        <v/>
      </c>
      <c r="G90" s="37" t="str">
        <f>IF(A90="","",COUNTIFS('Risk-Control Matrix'!$B$6:$B$155,A90,'Risk-Control Matrix'!$N$6:$N$155,"Ineffective"))</f>
        <v/>
      </c>
      <c r="H90" s="37" t="str">
        <f>IF(A90="","",COUNTIFS('Risk-Control Matrix'!$B$6:$B$155,A90,'Risk-Control Matrix'!$N$6:$N$155,"Not tested"))</f>
        <v/>
      </c>
      <c r="I90" s="37" t="str">
        <f>IF(A90="","",COUNTIFS('Risk-Control Matrix'!$B$6:$B$155,A90,'Risk-Control Matrix'!$O$6:$O$155,"Overdue"))</f>
        <v/>
      </c>
      <c r="J90" s="37" t="str">
        <f>IF(A90="","",IF(D90=0,Methodology!$A$44,IF(E90=D90,Methodology!$A$41,IF((E90+0.5*F90)/D90&gt;=0.5,Methodology!$A$42,Methodology!$A$43))))</f>
        <v/>
      </c>
      <c r="K90" s="37" t="str">
        <f>IF(A90="","",'Risk Register'!J90&amp;"")</f>
        <v/>
      </c>
      <c r="L90" s="38" t="str">
        <f t="shared" si="4"/>
        <v/>
      </c>
      <c r="M90" s="38" t="str">
        <f t="shared" si="5"/>
        <v/>
      </c>
    </row>
    <row r="91" spans="1:13" x14ac:dyDescent="0.35">
      <c r="A91" s="38" t="str">
        <f>IF('Risk Register'!A91="","",'Risk Register'!A91)</f>
        <v/>
      </c>
      <c r="B91" s="44" t="str">
        <f>IF(A91="","",'Risk Register'!B91)</f>
        <v/>
      </c>
      <c r="C91" s="37" t="str">
        <f>IF(A91="","",'Risk Register'!P91)</f>
        <v/>
      </c>
      <c r="D91" s="37" t="str">
        <f>IF(A91="","",COUNTIF('Risk-Control Matrix'!$B$6:$B$155,A91))</f>
        <v/>
      </c>
      <c r="E91" s="37" t="str">
        <f>IF(A91="","",COUNTIFS('Risk-Control Matrix'!$B$6:$B$155,A91,'Risk-Control Matrix'!$N$6:$N$155,"Effective"))</f>
        <v/>
      </c>
      <c r="F91" s="37" t="str">
        <f>IF(A91="","",COUNTIFS('Risk-Control Matrix'!$B$6:$B$155,A91,'Risk-Control Matrix'!$N$6:$N$155,"Partially effective"))</f>
        <v/>
      </c>
      <c r="G91" s="37" t="str">
        <f>IF(A91="","",COUNTIFS('Risk-Control Matrix'!$B$6:$B$155,A91,'Risk-Control Matrix'!$N$6:$N$155,"Ineffective"))</f>
        <v/>
      </c>
      <c r="H91" s="37" t="str">
        <f>IF(A91="","",COUNTIFS('Risk-Control Matrix'!$B$6:$B$155,A91,'Risk-Control Matrix'!$N$6:$N$155,"Not tested"))</f>
        <v/>
      </c>
      <c r="I91" s="37" t="str">
        <f>IF(A91="","",COUNTIFS('Risk-Control Matrix'!$B$6:$B$155,A91,'Risk-Control Matrix'!$O$6:$O$155,"Overdue"))</f>
        <v/>
      </c>
      <c r="J91" s="37" t="str">
        <f>IF(A91="","",IF(D91=0,Methodology!$A$44,IF(E91=D91,Methodology!$A$41,IF((E91+0.5*F91)/D91&gt;=0.5,Methodology!$A$42,Methodology!$A$43))))</f>
        <v/>
      </c>
      <c r="K91" s="37" t="str">
        <f>IF(A91="","",'Risk Register'!J91&amp;"")</f>
        <v/>
      </c>
      <c r="L91" s="38" t="str">
        <f t="shared" si="4"/>
        <v/>
      </c>
      <c r="M91" s="38" t="str">
        <f t="shared" si="5"/>
        <v/>
      </c>
    </row>
    <row r="92" spans="1:13" x14ac:dyDescent="0.35">
      <c r="A92" s="38" t="str">
        <f>IF('Risk Register'!A92="","",'Risk Register'!A92)</f>
        <v/>
      </c>
      <c r="B92" s="44" t="str">
        <f>IF(A92="","",'Risk Register'!B92)</f>
        <v/>
      </c>
      <c r="C92" s="37" t="str">
        <f>IF(A92="","",'Risk Register'!P92)</f>
        <v/>
      </c>
      <c r="D92" s="37" t="str">
        <f>IF(A92="","",COUNTIF('Risk-Control Matrix'!$B$6:$B$155,A92))</f>
        <v/>
      </c>
      <c r="E92" s="37" t="str">
        <f>IF(A92="","",COUNTIFS('Risk-Control Matrix'!$B$6:$B$155,A92,'Risk-Control Matrix'!$N$6:$N$155,"Effective"))</f>
        <v/>
      </c>
      <c r="F92" s="37" t="str">
        <f>IF(A92="","",COUNTIFS('Risk-Control Matrix'!$B$6:$B$155,A92,'Risk-Control Matrix'!$N$6:$N$155,"Partially effective"))</f>
        <v/>
      </c>
      <c r="G92" s="37" t="str">
        <f>IF(A92="","",COUNTIFS('Risk-Control Matrix'!$B$6:$B$155,A92,'Risk-Control Matrix'!$N$6:$N$155,"Ineffective"))</f>
        <v/>
      </c>
      <c r="H92" s="37" t="str">
        <f>IF(A92="","",COUNTIFS('Risk-Control Matrix'!$B$6:$B$155,A92,'Risk-Control Matrix'!$N$6:$N$155,"Not tested"))</f>
        <v/>
      </c>
      <c r="I92" s="37" t="str">
        <f>IF(A92="","",COUNTIFS('Risk-Control Matrix'!$B$6:$B$155,A92,'Risk-Control Matrix'!$O$6:$O$155,"Overdue"))</f>
        <v/>
      </c>
      <c r="J92" s="37" t="str">
        <f>IF(A92="","",IF(D92=0,Methodology!$A$44,IF(E92=D92,Methodology!$A$41,IF((E92+0.5*F92)/D92&gt;=0.5,Methodology!$A$42,Methodology!$A$43))))</f>
        <v/>
      </c>
      <c r="K92" s="37" t="str">
        <f>IF(A92="","",'Risk Register'!J92&amp;"")</f>
        <v/>
      </c>
      <c r="L92" s="38" t="str">
        <f t="shared" si="4"/>
        <v/>
      </c>
      <c r="M92" s="38" t="str">
        <f t="shared" si="5"/>
        <v/>
      </c>
    </row>
    <row r="93" spans="1:13" x14ac:dyDescent="0.35">
      <c r="A93" s="38" t="str">
        <f>IF('Risk Register'!A93="","",'Risk Register'!A93)</f>
        <v/>
      </c>
      <c r="B93" s="44" t="str">
        <f>IF(A93="","",'Risk Register'!B93)</f>
        <v/>
      </c>
      <c r="C93" s="37" t="str">
        <f>IF(A93="","",'Risk Register'!P93)</f>
        <v/>
      </c>
      <c r="D93" s="37" t="str">
        <f>IF(A93="","",COUNTIF('Risk-Control Matrix'!$B$6:$B$155,A93))</f>
        <v/>
      </c>
      <c r="E93" s="37" t="str">
        <f>IF(A93="","",COUNTIFS('Risk-Control Matrix'!$B$6:$B$155,A93,'Risk-Control Matrix'!$N$6:$N$155,"Effective"))</f>
        <v/>
      </c>
      <c r="F93" s="37" t="str">
        <f>IF(A93="","",COUNTIFS('Risk-Control Matrix'!$B$6:$B$155,A93,'Risk-Control Matrix'!$N$6:$N$155,"Partially effective"))</f>
        <v/>
      </c>
      <c r="G93" s="37" t="str">
        <f>IF(A93="","",COUNTIFS('Risk-Control Matrix'!$B$6:$B$155,A93,'Risk-Control Matrix'!$N$6:$N$155,"Ineffective"))</f>
        <v/>
      </c>
      <c r="H93" s="37" t="str">
        <f>IF(A93="","",COUNTIFS('Risk-Control Matrix'!$B$6:$B$155,A93,'Risk-Control Matrix'!$N$6:$N$155,"Not tested"))</f>
        <v/>
      </c>
      <c r="I93" s="37" t="str">
        <f>IF(A93="","",COUNTIFS('Risk-Control Matrix'!$B$6:$B$155,A93,'Risk-Control Matrix'!$O$6:$O$155,"Overdue"))</f>
        <v/>
      </c>
      <c r="J93" s="37" t="str">
        <f>IF(A93="","",IF(D93=0,Methodology!$A$44,IF(E93=D93,Methodology!$A$41,IF((E93+0.5*F93)/D93&gt;=0.5,Methodology!$A$42,Methodology!$A$43))))</f>
        <v/>
      </c>
      <c r="K93" s="37" t="str">
        <f>IF(A93="","",'Risk Register'!J93&amp;"")</f>
        <v/>
      </c>
      <c r="L93" s="38" t="str">
        <f t="shared" si="4"/>
        <v/>
      </c>
      <c r="M93" s="38" t="str">
        <f t="shared" si="5"/>
        <v/>
      </c>
    </row>
    <row r="94" spans="1:13" x14ac:dyDescent="0.35">
      <c r="A94" s="38" t="str">
        <f>IF('Risk Register'!A94="","",'Risk Register'!A94)</f>
        <v/>
      </c>
      <c r="B94" s="44" t="str">
        <f>IF(A94="","",'Risk Register'!B94)</f>
        <v/>
      </c>
      <c r="C94" s="37" t="str">
        <f>IF(A94="","",'Risk Register'!P94)</f>
        <v/>
      </c>
      <c r="D94" s="37" t="str">
        <f>IF(A94="","",COUNTIF('Risk-Control Matrix'!$B$6:$B$155,A94))</f>
        <v/>
      </c>
      <c r="E94" s="37" t="str">
        <f>IF(A94="","",COUNTIFS('Risk-Control Matrix'!$B$6:$B$155,A94,'Risk-Control Matrix'!$N$6:$N$155,"Effective"))</f>
        <v/>
      </c>
      <c r="F94" s="37" t="str">
        <f>IF(A94="","",COUNTIFS('Risk-Control Matrix'!$B$6:$B$155,A94,'Risk-Control Matrix'!$N$6:$N$155,"Partially effective"))</f>
        <v/>
      </c>
      <c r="G94" s="37" t="str">
        <f>IF(A94="","",COUNTIFS('Risk-Control Matrix'!$B$6:$B$155,A94,'Risk-Control Matrix'!$N$6:$N$155,"Ineffective"))</f>
        <v/>
      </c>
      <c r="H94" s="37" t="str">
        <f>IF(A94="","",COUNTIFS('Risk-Control Matrix'!$B$6:$B$155,A94,'Risk-Control Matrix'!$N$6:$N$155,"Not tested"))</f>
        <v/>
      </c>
      <c r="I94" s="37" t="str">
        <f>IF(A94="","",COUNTIFS('Risk-Control Matrix'!$B$6:$B$155,A94,'Risk-Control Matrix'!$O$6:$O$155,"Overdue"))</f>
        <v/>
      </c>
      <c r="J94" s="37" t="str">
        <f>IF(A94="","",IF(D94=0,Methodology!$A$44,IF(E94=D94,Methodology!$A$41,IF((E94+0.5*F94)/D94&gt;=0.5,Methodology!$A$42,Methodology!$A$43))))</f>
        <v/>
      </c>
      <c r="K94" s="37" t="str">
        <f>IF(A94="","",'Risk Register'!J94&amp;"")</f>
        <v/>
      </c>
      <c r="L94" s="38" t="str">
        <f t="shared" si="4"/>
        <v/>
      </c>
      <c r="M94" s="38" t="str">
        <f t="shared" si="5"/>
        <v/>
      </c>
    </row>
    <row r="95" spans="1:13" x14ac:dyDescent="0.35">
      <c r="A95" s="38" t="str">
        <f>IF('Risk Register'!A95="","",'Risk Register'!A95)</f>
        <v/>
      </c>
      <c r="B95" s="44" t="str">
        <f>IF(A95="","",'Risk Register'!B95)</f>
        <v/>
      </c>
      <c r="C95" s="37" t="str">
        <f>IF(A95="","",'Risk Register'!P95)</f>
        <v/>
      </c>
      <c r="D95" s="37" t="str">
        <f>IF(A95="","",COUNTIF('Risk-Control Matrix'!$B$6:$B$155,A95))</f>
        <v/>
      </c>
      <c r="E95" s="37" t="str">
        <f>IF(A95="","",COUNTIFS('Risk-Control Matrix'!$B$6:$B$155,A95,'Risk-Control Matrix'!$N$6:$N$155,"Effective"))</f>
        <v/>
      </c>
      <c r="F95" s="37" t="str">
        <f>IF(A95="","",COUNTIFS('Risk-Control Matrix'!$B$6:$B$155,A95,'Risk-Control Matrix'!$N$6:$N$155,"Partially effective"))</f>
        <v/>
      </c>
      <c r="G95" s="37" t="str">
        <f>IF(A95="","",COUNTIFS('Risk-Control Matrix'!$B$6:$B$155,A95,'Risk-Control Matrix'!$N$6:$N$155,"Ineffective"))</f>
        <v/>
      </c>
      <c r="H95" s="37" t="str">
        <f>IF(A95="","",COUNTIFS('Risk-Control Matrix'!$B$6:$B$155,A95,'Risk-Control Matrix'!$N$6:$N$155,"Not tested"))</f>
        <v/>
      </c>
      <c r="I95" s="37" t="str">
        <f>IF(A95="","",COUNTIFS('Risk-Control Matrix'!$B$6:$B$155,A95,'Risk-Control Matrix'!$O$6:$O$155,"Overdue"))</f>
        <v/>
      </c>
      <c r="J95" s="37" t="str">
        <f>IF(A95="","",IF(D95=0,Methodology!$A$44,IF(E95=D95,Methodology!$A$41,IF((E95+0.5*F95)/D95&gt;=0.5,Methodology!$A$42,Methodology!$A$43))))</f>
        <v/>
      </c>
      <c r="K95" s="37" t="str">
        <f>IF(A95="","",'Risk Register'!J95&amp;"")</f>
        <v/>
      </c>
      <c r="L95" s="38" t="str">
        <f t="shared" si="4"/>
        <v/>
      </c>
      <c r="M95" s="38" t="str">
        <f t="shared" si="5"/>
        <v/>
      </c>
    </row>
    <row r="96" spans="1:13" x14ac:dyDescent="0.35">
      <c r="A96" s="38" t="str">
        <f>IF('Risk Register'!A96="","",'Risk Register'!A96)</f>
        <v/>
      </c>
      <c r="B96" s="44" t="str">
        <f>IF(A96="","",'Risk Register'!B96)</f>
        <v/>
      </c>
      <c r="C96" s="37" t="str">
        <f>IF(A96="","",'Risk Register'!P96)</f>
        <v/>
      </c>
      <c r="D96" s="37" t="str">
        <f>IF(A96="","",COUNTIF('Risk-Control Matrix'!$B$6:$B$155,A96))</f>
        <v/>
      </c>
      <c r="E96" s="37" t="str">
        <f>IF(A96="","",COUNTIFS('Risk-Control Matrix'!$B$6:$B$155,A96,'Risk-Control Matrix'!$N$6:$N$155,"Effective"))</f>
        <v/>
      </c>
      <c r="F96" s="37" t="str">
        <f>IF(A96="","",COUNTIFS('Risk-Control Matrix'!$B$6:$B$155,A96,'Risk-Control Matrix'!$N$6:$N$155,"Partially effective"))</f>
        <v/>
      </c>
      <c r="G96" s="37" t="str">
        <f>IF(A96="","",COUNTIFS('Risk-Control Matrix'!$B$6:$B$155,A96,'Risk-Control Matrix'!$N$6:$N$155,"Ineffective"))</f>
        <v/>
      </c>
      <c r="H96" s="37" t="str">
        <f>IF(A96="","",COUNTIFS('Risk-Control Matrix'!$B$6:$B$155,A96,'Risk-Control Matrix'!$N$6:$N$155,"Not tested"))</f>
        <v/>
      </c>
      <c r="I96" s="37" t="str">
        <f>IF(A96="","",COUNTIFS('Risk-Control Matrix'!$B$6:$B$155,A96,'Risk-Control Matrix'!$O$6:$O$155,"Overdue"))</f>
        <v/>
      </c>
      <c r="J96" s="37" t="str">
        <f>IF(A96="","",IF(D96=0,Methodology!$A$44,IF(E96=D96,Methodology!$A$41,IF((E96+0.5*F96)/D96&gt;=0.5,Methodology!$A$42,Methodology!$A$43))))</f>
        <v/>
      </c>
      <c r="K96" s="37" t="str">
        <f>IF(A96="","",'Risk Register'!J96&amp;"")</f>
        <v/>
      </c>
      <c r="L96" s="38" t="str">
        <f t="shared" si="4"/>
        <v/>
      </c>
      <c r="M96" s="38" t="str">
        <f t="shared" si="5"/>
        <v/>
      </c>
    </row>
    <row r="97" spans="1:13" x14ac:dyDescent="0.35">
      <c r="A97" s="38" t="str">
        <f>IF('Risk Register'!A97="","",'Risk Register'!A97)</f>
        <v/>
      </c>
      <c r="B97" s="44" t="str">
        <f>IF(A97="","",'Risk Register'!B97)</f>
        <v/>
      </c>
      <c r="C97" s="37" t="str">
        <f>IF(A97="","",'Risk Register'!P97)</f>
        <v/>
      </c>
      <c r="D97" s="37" t="str">
        <f>IF(A97="","",COUNTIF('Risk-Control Matrix'!$B$6:$B$155,A97))</f>
        <v/>
      </c>
      <c r="E97" s="37" t="str">
        <f>IF(A97="","",COUNTIFS('Risk-Control Matrix'!$B$6:$B$155,A97,'Risk-Control Matrix'!$N$6:$N$155,"Effective"))</f>
        <v/>
      </c>
      <c r="F97" s="37" t="str">
        <f>IF(A97="","",COUNTIFS('Risk-Control Matrix'!$B$6:$B$155,A97,'Risk-Control Matrix'!$N$6:$N$155,"Partially effective"))</f>
        <v/>
      </c>
      <c r="G97" s="37" t="str">
        <f>IF(A97="","",COUNTIFS('Risk-Control Matrix'!$B$6:$B$155,A97,'Risk-Control Matrix'!$N$6:$N$155,"Ineffective"))</f>
        <v/>
      </c>
      <c r="H97" s="37" t="str">
        <f>IF(A97="","",COUNTIFS('Risk-Control Matrix'!$B$6:$B$155,A97,'Risk-Control Matrix'!$N$6:$N$155,"Not tested"))</f>
        <v/>
      </c>
      <c r="I97" s="37" t="str">
        <f>IF(A97="","",COUNTIFS('Risk-Control Matrix'!$B$6:$B$155,A97,'Risk-Control Matrix'!$O$6:$O$155,"Overdue"))</f>
        <v/>
      </c>
      <c r="J97" s="37" t="str">
        <f>IF(A97="","",IF(D97=0,Methodology!$A$44,IF(E97=D97,Methodology!$A$41,IF((E97+0.5*F97)/D97&gt;=0.5,Methodology!$A$42,Methodology!$A$43))))</f>
        <v/>
      </c>
      <c r="K97" s="37" t="str">
        <f>IF(A97="","",'Risk Register'!J97&amp;"")</f>
        <v/>
      </c>
      <c r="L97" s="38" t="str">
        <f t="shared" si="4"/>
        <v/>
      </c>
      <c r="M97" s="38" t="str">
        <f t="shared" si="5"/>
        <v/>
      </c>
    </row>
    <row r="98" spans="1:13" x14ac:dyDescent="0.35">
      <c r="A98" s="38" t="str">
        <f>IF('Risk Register'!A98="","",'Risk Register'!A98)</f>
        <v/>
      </c>
      <c r="B98" s="44" t="str">
        <f>IF(A98="","",'Risk Register'!B98)</f>
        <v/>
      </c>
      <c r="C98" s="37" t="str">
        <f>IF(A98="","",'Risk Register'!P98)</f>
        <v/>
      </c>
      <c r="D98" s="37" t="str">
        <f>IF(A98="","",COUNTIF('Risk-Control Matrix'!$B$6:$B$155,A98))</f>
        <v/>
      </c>
      <c r="E98" s="37" t="str">
        <f>IF(A98="","",COUNTIFS('Risk-Control Matrix'!$B$6:$B$155,A98,'Risk-Control Matrix'!$N$6:$N$155,"Effective"))</f>
        <v/>
      </c>
      <c r="F98" s="37" t="str">
        <f>IF(A98="","",COUNTIFS('Risk-Control Matrix'!$B$6:$B$155,A98,'Risk-Control Matrix'!$N$6:$N$155,"Partially effective"))</f>
        <v/>
      </c>
      <c r="G98" s="37" t="str">
        <f>IF(A98="","",COUNTIFS('Risk-Control Matrix'!$B$6:$B$155,A98,'Risk-Control Matrix'!$N$6:$N$155,"Ineffective"))</f>
        <v/>
      </c>
      <c r="H98" s="37" t="str">
        <f>IF(A98="","",COUNTIFS('Risk-Control Matrix'!$B$6:$B$155,A98,'Risk-Control Matrix'!$N$6:$N$155,"Not tested"))</f>
        <v/>
      </c>
      <c r="I98" s="37" t="str">
        <f>IF(A98="","",COUNTIFS('Risk-Control Matrix'!$B$6:$B$155,A98,'Risk-Control Matrix'!$O$6:$O$155,"Overdue"))</f>
        <v/>
      </c>
      <c r="J98" s="37" t="str">
        <f>IF(A98="","",IF(D98=0,Methodology!$A$44,IF(E98=D98,Methodology!$A$41,IF((E98+0.5*F98)/D98&gt;=0.5,Methodology!$A$42,Methodology!$A$43))))</f>
        <v/>
      </c>
      <c r="K98" s="37" t="str">
        <f>IF(A98="","",'Risk Register'!J98&amp;"")</f>
        <v/>
      </c>
      <c r="L98" s="38" t="str">
        <f t="shared" si="4"/>
        <v/>
      </c>
      <c r="M98" s="38" t="str">
        <f t="shared" si="5"/>
        <v/>
      </c>
    </row>
    <row r="99" spans="1:13" x14ac:dyDescent="0.35">
      <c r="A99" s="38" t="str">
        <f>IF('Risk Register'!A99="","",'Risk Register'!A99)</f>
        <v/>
      </c>
      <c r="B99" s="44" t="str">
        <f>IF(A99="","",'Risk Register'!B99)</f>
        <v/>
      </c>
      <c r="C99" s="37" t="str">
        <f>IF(A99="","",'Risk Register'!P99)</f>
        <v/>
      </c>
      <c r="D99" s="37" t="str">
        <f>IF(A99="","",COUNTIF('Risk-Control Matrix'!$B$6:$B$155,A99))</f>
        <v/>
      </c>
      <c r="E99" s="37" t="str">
        <f>IF(A99="","",COUNTIFS('Risk-Control Matrix'!$B$6:$B$155,A99,'Risk-Control Matrix'!$N$6:$N$155,"Effective"))</f>
        <v/>
      </c>
      <c r="F99" s="37" t="str">
        <f>IF(A99="","",COUNTIFS('Risk-Control Matrix'!$B$6:$B$155,A99,'Risk-Control Matrix'!$N$6:$N$155,"Partially effective"))</f>
        <v/>
      </c>
      <c r="G99" s="37" t="str">
        <f>IF(A99="","",COUNTIFS('Risk-Control Matrix'!$B$6:$B$155,A99,'Risk-Control Matrix'!$N$6:$N$155,"Ineffective"))</f>
        <v/>
      </c>
      <c r="H99" s="37" t="str">
        <f>IF(A99="","",COUNTIFS('Risk-Control Matrix'!$B$6:$B$155,A99,'Risk-Control Matrix'!$N$6:$N$155,"Not tested"))</f>
        <v/>
      </c>
      <c r="I99" s="37" t="str">
        <f>IF(A99="","",COUNTIFS('Risk-Control Matrix'!$B$6:$B$155,A99,'Risk-Control Matrix'!$O$6:$O$155,"Overdue"))</f>
        <v/>
      </c>
      <c r="J99" s="37" t="str">
        <f>IF(A99="","",IF(D99=0,Methodology!$A$44,IF(E99=D99,Methodology!$A$41,IF((E99+0.5*F99)/D99&gt;=0.5,Methodology!$A$42,Methodology!$A$43))))</f>
        <v/>
      </c>
      <c r="K99" s="37" t="str">
        <f>IF(A99="","",'Risk Register'!J99&amp;"")</f>
        <v/>
      </c>
      <c r="L99" s="38" t="str">
        <f t="shared" si="4"/>
        <v/>
      </c>
      <c r="M99" s="38" t="str">
        <f t="shared" si="5"/>
        <v/>
      </c>
    </row>
    <row r="100" spans="1:13" x14ac:dyDescent="0.35">
      <c r="A100" s="38" t="str">
        <f>IF('Risk Register'!A100="","",'Risk Register'!A100)</f>
        <v/>
      </c>
      <c r="B100" s="44" t="str">
        <f>IF(A100="","",'Risk Register'!B100)</f>
        <v/>
      </c>
      <c r="C100" s="37" t="str">
        <f>IF(A100="","",'Risk Register'!P100)</f>
        <v/>
      </c>
      <c r="D100" s="37" t="str">
        <f>IF(A100="","",COUNTIF('Risk-Control Matrix'!$B$6:$B$155,A100))</f>
        <v/>
      </c>
      <c r="E100" s="37" t="str">
        <f>IF(A100="","",COUNTIFS('Risk-Control Matrix'!$B$6:$B$155,A100,'Risk-Control Matrix'!$N$6:$N$155,"Effective"))</f>
        <v/>
      </c>
      <c r="F100" s="37" t="str">
        <f>IF(A100="","",COUNTIFS('Risk-Control Matrix'!$B$6:$B$155,A100,'Risk-Control Matrix'!$N$6:$N$155,"Partially effective"))</f>
        <v/>
      </c>
      <c r="G100" s="37" t="str">
        <f>IF(A100="","",COUNTIFS('Risk-Control Matrix'!$B$6:$B$155,A100,'Risk-Control Matrix'!$N$6:$N$155,"Ineffective"))</f>
        <v/>
      </c>
      <c r="H100" s="37" t="str">
        <f>IF(A100="","",COUNTIFS('Risk-Control Matrix'!$B$6:$B$155,A100,'Risk-Control Matrix'!$N$6:$N$155,"Not tested"))</f>
        <v/>
      </c>
      <c r="I100" s="37" t="str">
        <f>IF(A100="","",COUNTIFS('Risk-Control Matrix'!$B$6:$B$155,A100,'Risk-Control Matrix'!$O$6:$O$155,"Overdue"))</f>
        <v/>
      </c>
      <c r="J100" s="37" t="str">
        <f>IF(A100="","",IF(D100=0,Methodology!$A$44,IF(E100=D100,Methodology!$A$41,IF((E100+0.5*F100)/D100&gt;=0.5,Methodology!$A$42,Methodology!$A$43))))</f>
        <v/>
      </c>
      <c r="K100" s="37" t="str">
        <f>IF(A100="","",'Risk Register'!J100&amp;"")</f>
        <v/>
      </c>
      <c r="L100" s="38" t="str">
        <f t="shared" si="4"/>
        <v/>
      </c>
      <c r="M100" s="38" t="str">
        <f t="shared" si="5"/>
        <v/>
      </c>
    </row>
    <row r="101" spans="1:13" x14ac:dyDescent="0.35">
      <c r="A101" s="38" t="str">
        <f>IF('Risk Register'!A101="","",'Risk Register'!A101)</f>
        <v/>
      </c>
      <c r="B101" s="44" t="str">
        <f>IF(A101="","",'Risk Register'!B101)</f>
        <v/>
      </c>
      <c r="C101" s="37" t="str">
        <f>IF(A101="","",'Risk Register'!P101)</f>
        <v/>
      </c>
      <c r="D101" s="37" t="str">
        <f>IF(A101="","",COUNTIF('Risk-Control Matrix'!$B$6:$B$155,A101))</f>
        <v/>
      </c>
      <c r="E101" s="37" t="str">
        <f>IF(A101="","",COUNTIFS('Risk-Control Matrix'!$B$6:$B$155,A101,'Risk-Control Matrix'!$N$6:$N$155,"Effective"))</f>
        <v/>
      </c>
      <c r="F101" s="37" t="str">
        <f>IF(A101="","",COUNTIFS('Risk-Control Matrix'!$B$6:$B$155,A101,'Risk-Control Matrix'!$N$6:$N$155,"Partially effective"))</f>
        <v/>
      </c>
      <c r="G101" s="37" t="str">
        <f>IF(A101="","",COUNTIFS('Risk-Control Matrix'!$B$6:$B$155,A101,'Risk-Control Matrix'!$N$6:$N$155,"Ineffective"))</f>
        <v/>
      </c>
      <c r="H101" s="37" t="str">
        <f>IF(A101="","",COUNTIFS('Risk-Control Matrix'!$B$6:$B$155,A101,'Risk-Control Matrix'!$N$6:$N$155,"Not tested"))</f>
        <v/>
      </c>
      <c r="I101" s="37" t="str">
        <f>IF(A101="","",COUNTIFS('Risk-Control Matrix'!$B$6:$B$155,A101,'Risk-Control Matrix'!$O$6:$O$155,"Overdue"))</f>
        <v/>
      </c>
      <c r="J101" s="37" t="str">
        <f>IF(A101="","",IF(D101=0,Methodology!$A$44,IF(E101=D101,Methodology!$A$41,IF((E101+0.5*F101)/D101&gt;=0.5,Methodology!$A$42,Methodology!$A$43))))</f>
        <v/>
      </c>
      <c r="K101" s="37" t="str">
        <f>IF(A101="","",'Risk Register'!J101&amp;"")</f>
        <v/>
      </c>
      <c r="L101" s="38" t="str">
        <f t="shared" si="4"/>
        <v/>
      </c>
      <c r="M101" s="38" t="str">
        <f t="shared" si="5"/>
        <v/>
      </c>
    </row>
    <row r="102" spans="1:13" x14ac:dyDescent="0.35">
      <c r="A102" s="38" t="str">
        <f>IF('Risk Register'!A102="","",'Risk Register'!A102)</f>
        <v/>
      </c>
      <c r="B102" s="44" t="str">
        <f>IF(A102="","",'Risk Register'!B102)</f>
        <v/>
      </c>
      <c r="C102" s="37" t="str">
        <f>IF(A102="","",'Risk Register'!P102)</f>
        <v/>
      </c>
      <c r="D102" s="37" t="str">
        <f>IF(A102="","",COUNTIF('Risk-Control Matrix'!$B$6:$B$155,A102))</f>
        <v/>
      </c>
      <c r="E102" s="37" t="str">
        <f>IF(A102="","",COUNTIFS('Risk-Control Matrix'!$B$6:$B$155,A102,'Risk-Control Matrix'!$N$6:$N$155,"Effective"))</f>
        <v/>
      </c>
      <c r="F102" s="37" t="str">
        <f>IF(A102="","",COUNTIFS('Risk-Control Matrix'!$B$6:$B$155,A102,'Risk-Control Matrix'!$N$6:$N$155,"Partially effective"))</f>
        <v/>
      </c>
      <c r="G102" s="37" t="str">
        <f>IF(A102="","",COUNTIFS('Risk-Control Matrix'!$B$6:$B$155,A102,'Risk-Control Matrix'!$N$6:$N$155,"Ineffective"))</f>
        <v/>
      </c>
      <c r="H102" s="37" t="str">
        <f>IF(A102="","",COUNTIFS('Risk-Control Matrix'!$B$6:$B$155,A102,'Risk-Control Matrix'!$N$6:$N$155,"Not tested"))</f>
        <v/>
      </c>
      <c r="I102" s="37" t="str">
        <f>IF(A102="","",COUNTIFS('Risk-Control Matrix'!$B$6:$B$155,A102,'Risk-Control Matrix'!$O$6:$O$155,"Overdue"))</f>
        <v/>
      </c>
      <c r="J102" s="37" t="str">
        <f>IF(A102="","",IF(D102=0,Methodology!$A$44,IF(E102=D102,Methodology!$A$41,IF((E102+0.5*F102)/D102&gt;=0.5,Methodology!$A$42,Methodology!$A$43))))</f>
        <v/>
      </c>
      <c r="K102" s="37" t="str">
        <f>IF(A102="","",'Risk Register'!J102&amp;"")</f>
        <v/>
      </c>
      <c r="L102" s="38" t="str">
        <f t="shared" ref="L102:L105" si="6">IF(A102="","",IF(K102="","Not set in register",IF(J102=K102,"Aligned","Review: register says "&amp;K102)))</f>
        <v/>
      </c>
      <c r="M102" s="38" t="str">
        <f t="shared" si="5"/>
        <v/>
      </c>
    </row>
    <row r="103" spans="1:13" x14ac:dyDescent="0.35">
      <c r="A103" s="38" t="str">
        <f>IF('Risk Register'!A103="","",'Risk Register'!A103)</f>
        <v/>
      </c>
      <c r="B103" s="44" t="str">
        <f>IF(A103="","",'Risk Register'!B103)</f>
        <v/>
      </c>
      <c r="C103" s="37" t="str">
        <f>IF(A103="","",'Risk Register'!P103)</f>
        <v/>
      </c>
      <c r="D103" s="37" t="str">
        <f>IF(A103="","",COUNTIF('Risk-Control Matrix'!$B$6:$B$155,A103))</f>
        <v/>
      </c>
      <c r="E103" s="37" t="str">
        <f>IF(A103="","",COUNTIFS('Risk-Control Matrix'!$B$6:$B$155,A103,'Risk-Control Matrix'!$N$6:$N$155,"Effective"))</f>
        <v/>
      </c>
      <c r="F103" s="37" t="str">
        <f>IF(A103="","",COUNTIFS('Risk-Control Matrix'!$B$6:$B$155,A103,'Risk-Control Matrix'!$N$6:$N$155,"Partially effective"))</f>
        <v/>
      </c>
      <c r="G103" s="37" t="str">
        <f>IF(A103="","",COUNTIFS('Risk-Control Matrix'!$B$6:$B$155,A103,'Risk-Control Matrix'!$N$6:$N$155,"Ineffective"))</f>
        <v/>
      </c>
      <c r="H103" s="37" t="str">
        <f>IF(A103="","",COUNTIFS('Risk-Control Matrix'!$B$6:$B$155,A103,'Risk-Control Matrix'!$N$6:$N$155,"Not tested"))</f>
        <v/>
      </c>
      <c r="I103" s="37" t="str">
        <f>IF(A103="","",COUNTIFS('Risk-Control Matrix'!$B$6:$B$155,A103,'Risk-Control Matrix'!$O$6:$O$155,"Overdue"))</f>
        <v/>
      </c>
      <c r="J103" s="37" t="str">
        <f>IF(A103="","",IF(D103=0,Methodology!$A$44,IF(E103=D103,Methodology!$A$41,IF((E103+0.5*F103)/D103&gt;=0.5,Methodology!$A$42,Methodology!$A$43))))</f>
        <v/>
      </c>
      <c r="K103" s="37" t="str">
        <f>IF(A103="","",'Risk Register'!J103&amp;"")</f>
        <v/>
      </c>
      <c r="L103" s="38" t="str">
        <f t="shared" si="6"/>
        <v/>
      </c>
      <c r="M103" s="38" t="str">
        <f t="shared" si="5"/>
        <v/>
      </c>
    </row>
    <row r="104" spans="1:13" x14ac:dyDescent="0.35">
      <c r="A104" s="38" t="str">
        <f>IF('Risk Register'!A104="","",'Risk Register'!A104)</f>
        <v/>
      </c>
      <c r="B104" s="44" t="str">
        <f>IF(A104="","",'Risk Register'!B104)</f>
        <v/>
      </c>
      <c r="C104" s="37" t="str">
        <f>IF(A104="","",'Risk Register'!P104)</f>
        <v/>
      </c>
      <c r="D104" s="37" t="str">
        <f>IF(A104="","",COUNTIF('Risk-Control Matrix'!$B$6:$B$155,A104))</f>
        <v/>
      </c>
      <c r="E104" s="37" t="str">
        <f>IF(A104="","",COUNTIFS('Risk-Control Matrix'!$B$6:$B$155,A104,'Risk-Control Matrix'!$N$6:$N$155,"Effective"))</f>
        <v/>
      </c>
      <c r="F104" s="37" t="str">
        <f>IF(A104="","",COUNTIFS('Risk-Control Matrix'!$B$6:$B$155,A104,'Risk-Control Matrix'!$N$6:$N$155,"Partially effective"))</f>
        <v/>
      </c>
      <c r="G104" s="37" t="str">
        <f>IF(A104="","",COUNTIFS('Risk-Control Matrix'!$B$6:$B$155,A104,'Risk-Control Matrix'!$N$6:$N$155,"Ineffective"))</f>
        <v/>
      </c>
      <c r="H104" s="37" t="str">
        <f>IF(A104="","",COUNTIFS('Risk-Control Matrix'!$B$6:$B$155,A104,'Risk-Control Matrix'!$N$6:$N$155,"Not tested"))</f>
        <v/>
      </c>
      <c r="I104" s="37" t="str">
        <f>IF(A104="","",COUNTIFS('Risk-Control Matrix'!$B$6:$B$155,A104,'Risk-Control Matrix'!$O$6:$O$155,"Overdue"))</f>
        <v/>
      </c>
      <c r="J104" s="37" t="str">
        <f>IF(A104="","",IF(D104=0,Methodology!$A$44,IF(E104=D104,Methodology!$A$41,IF((E104+0.5*F104)/D104&gt;=0.5,Methodology!$A$42,Methodology!$A$43))))</f>
        <v/>
      </c>
      <c r="K104" s="37" t="str">
        <f>IF(A104="","",'Risk Register'!J104&amp;"")</f>
        <v/>
      </c>
      <c r="L104" s="38" t="str">
        <f t="shared" si="6"/>
        <v/>
      </c>
      <c r="M104" s="38" t="str">
        <f t="shared" si="5"/>
        <v/>
      </c>
    </row>
    <row r="105" spans="1:13" x14ac:dyDescent="0.35">
      <c r="A105" s="38" t="str">
        <f>IF('Risk Register'!A105="","",'Risk Register'!A105)</f>
        <v/>
      </c>
      <c r="B105" s="44" t="str">
        <f>IF(A105="","",'Risk Register'!B105)</f>
        <v/>
      </c>
      <c r="C105" s="37" t="str">
        <f>IF(A105="","",'Risk Register'!P105)</f>
        <v/>
      </c>
      <c r="D105" s="37" t="str">
        <f>IF(A105="","",COUNTIF('Risk-Control Matrix'!$B$6:$B$155,A105))</f>
        <v/>
      </c>
      <c r="E105" s="37" t="str">
        <f>IF(A105="","",COUNTIFS('Risk-Control Matrix'!$B$6:$B$155,A105,'Risk-Control Matrix'!$N$6:$N$155,"Effective"))</f>
        <v/>
      </c>
      <c r="F105" s="37" t="str">
        <f>IF(A105="","",COUNTIFS('Risk-Control Matrix'!$B$6:$B$155,A105,'Risk-Control Matrix'!$N$6:$N$155,"Partially effective"))</f>
        <v/>
      </c>
      <c r="G105" s="37" t="str">
        <f>IF(A105="","",COUNTIFS('Risk-Control Matrix'!$B$6:$B$155,A105,'Risk-Control Matrix'!$N$6:$N$155,"Ineffective"))</f>
        <v/>
      </c>
      <c r="H105" s="37" t="str">
        <f>IF(A105="","",COUNTIFS('Risk-Control Matrix'!$B$6:$B$155,A105,'Risk-Control Matrix'!$N$6:$N$155,"Not tested"))</f>
        <v/>
      </c>
      <c r="I105" s="37" t="str">
        <f>IF(A105="","",COUNTIFS('Risk-Control Matrix'!$B$6:$B$155,A105,'Risk-Control Matrix'!$O$6:$O$155,"Overdue"))</f>
        <v/>
      </c>
      <c r="J105" s="37" t="str">
        <f>IF(A105="","",IF(D105=0,Methodology!$A$44,IF(E105=D105,Methodology!$A$41,IF((E105+0.5*F105)/D105&gt;=0.5,Methodology!$A$42,Methodology!$A$43))))</f>
        <v/>
      </c>
      <c r="K105" s="37" t="str">
        <f>IF(A105="","",'Risk Register'!J105&amp;"")</f>
        <v/>
      </c>
      <c r="L105" s="38" t="str">
        <f t="shared" si="6"/>
        <v/>
      </c>
      <c r="M105" s="38" t="str">
        <f t="shared" si="5"/>
        <v/>
      </c>
    </row>
  </sheetData>
  <conditionalFormatting sqref="L6:L105">
    <cfRule type="expression" dxfId="35" priority="2">
      <formula>LEFT(L6,6)="Review"</formula>
    </cfRule>
    <cfRule type="expression" dxfId="34" priority="3">
      <formula>L6="Aligned"</formula>
    </cfRule>
  </conditionalFormatting>
  <conditionalFormatting sqref="M6:M105">
    <cfRule type="expression" dxfId="33" priority="4">
      <formula>M6&lt;&gt;""</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548235"/>
  </sheetPr>
  <dimension ref="A1:U65"/>
  <sheetViews>
    <sheetView showGridLines="0" workbookViewId="0">
      <pane xSplit="2" ySplit="5" topLeftCell="C6" activePane="bottomRight" state="frozen"/>
      <selection pane="topRight"/>
      <selection pane="bottomLeft"/>
      <selection pane="bottomRight" activeCell="C6" sqref="C6"/>
    </sheetView>
  </sheetViews>
  <sheetFormatPr defaultColWidth="8.6328125" defaultRowHeight="14.5" x14ac:dyDescent="0.35"/>
  <cols>
    <col min="1" max="1" width="8" customWidth="1"/>
    <col min="2" max="2" width="32" customWidth="1"/>
    <col min="3" max="3" width="40" customWidth="1"/>
    <col min="4" max="5" width="24" customWidth="1"/>
    <col min="6" max="6" width="18" customWidth="1"/>
    <col min="7" max="7" width="13" customWidth="1"/>
    <col min="8" max="9" width="11" customWidth="1"/>
    <col min="10" max="11" width="10" customWidth="1"/>
    <col min="12" max="12" width="8" customWidth="1"/>
    <col min="13" max="13" width="10" customWidth="1"/>
    <col min="14" max="14" width="9" customWidth="1"/>
    <col min="15" max="15" width="10" customWidth="1"/>
    <col min="16" max="16" width="18" customWidth="1"/>
    <col min="17" max="17" width="28" customWidth="1"/>
    <col min="18" max="18" width="12" customWidth="1"/>
    <col min="19" max="19" width="13" customWidth="1"/>
    <col min="20" max="20" width="12" customWidth="1"/>
    <col min="21" max="21" width="32" customWidth="1"/>
  </cols>
  <sheetData>
    <row r="1" spans="1:21" ht="20" x14ac:dyDescent="0.4">
      <c r="A1" s="2" t="s">
        <v>484</v>
      </c>
    </row>
    <row r="2" spans="1:21" x14ac:dyDescent="0.35">
      <c r="A2" s="1" t="s">
        <v>485</v>
      </c>
    </row>
    <row r="5" spans="1:21" ht="57.75" customHeight="1" x14ac:dyDescent="0.35">
      <c r="A5" s="16" t="s">
        <v>486</v>
      </c>
      <c r="B5" s="16" t="s">
        <v>487</v>
      </c>
      <c r="C5" s="16" t="s">
        <v>138</v>
      </c>
      <c r="D5" s="16" t="s">
        <v>488</v>
      </c>
      <c r="E5" s="16" t="s">
        <v>55</v>
      </c>
      <c r="F5" s="16" t="s">
        <v>393</v>
      </c>
      <c r="G5" s="16" t="s">
        <v>489</v>
      </c>
      <c r="H5" s="16" t="s">
        <v>490</v>
      </c>
      <c r="I5" s="16" t="s">
        <v>162</v>
      </c>
      <c r="J5" s="16" t="s">
        <v>491</v>
      </c>
      <c r="K5" s="16" t="s">
        <v>492</v>
      </c>
      <c r="L5" s="16" t="s">
        <v>493</v>
      </c>
      <c r="M5" s="16" t="s">
        <v>494</v>
      </c>
      <c r="N5" s="16" t="s">
        <v>495</v>
      </c>
      <c r="O5" s="16" t="s">
        <v>496</v>
      </c>
      <c r="P5" s="16" t="s">
        <v>325</v>
      </c>
      <c r="Q5" s="16" t="s">
        <v>497</v>
      </c>
      <c r="R5" s="16" t="s">
        <v>498</v>
      </c>
      <c r="S5" s="16" t="s">
        <v>186</v>
      </c>
      <c r="T5" s="16" t="s">
        <v>247</v>
      </c>
      <c r="U5" s="16" t="s">
        <v>499</v>
      </c>
    </row>
    <row r="6" spans="1:21" ht="25" x14ac:dyDescent="0.35">
      <c r="A6" s="35" t="s">
        <v>500</v>
      </c>
      <c r="B6" s="24" t="s">
        <v>501</v>
      </c>
      <c r="C6" s="24" t="s">
        <v>502</v>
      </c>
      <c r="D6" s="24" t="s">
        <v>503</v>
      </c>
      <c r="E6" s="35" t="s">
        <v>197</v>
      </c>
      <c r="F6" s="35" t="s">
        <v>261</v>
      </c>
      <c r="G6" s="46">
        <v>46213</v>
      </c>
      <c r="H6" s="36" t="s">
        <v>504</v>
      </c>
      <c r="I6" s="36" t="s">
        <v>165</v>
      </c>
      <c r="J6" s="36">
        <v>5</v>
      </c>
      <c r="K6" s="36">
        <v>2</v>
      </c>
      <c r="L6" s="37">
        <f t="shared" ref="L6:L37" si="0">IF(OR(J6="",K6=""),"",J6*K6)</f>
        <v>10</v>
      </c>
      <c r="M6" s="48">
        <f>IF(I6="","",IFERROR(INDEX(Methodology!$B$54:$B$57,MATCH(I6,Methodology!$A$54:$A$57,0)),""))</f>
        <v>0.8</v>
      </c>
      <c r="N6" s="37">
        <f t="shared" ref="N6:N37" si="1">IF(OR(L6="",M6=""),"",MIN(25,ROUND(L6*M6,0)))</f>
        <v>8</v>
      </c>
      <c r="O6" s="37" t="str">
        <f>IF(N6="","",INDEX(Methodology!$B$26:$B$29,MATCH(N6,Methodology!$A$26:$A$29,1)))</f>
        <v>Medium</v>
      </c>
      <c r="P6" s="35" t="s">
        <v>505</v>
      </c>
      <c r="Q6" s="24" t="s">
        <v>506</v>
      </c>
      <c r="R6" s="35"/>
      <c r="S6" s="46">
        <v>46397</v>
      </c>
      <c r="T6" s="37" t="str">
        <f ca="1">IF(OR(A6="",S6="",P6="Closed"),"",IF(S6&lt;Methodology!$B$4,"Overdue","On schedule"))</f>
        <v>On schedule</v>
      </c>
      <c r="U6" s="44" t="str">
        <f>IF(OR(A6="",P6="Closed",O6=""),"",IF(AND(P6&lt;&gt;"Escalated to register",OR(O6=Methodology!$B$28,O6=Methodology!$B$29)),"Consider escalating to Risk Register",IF(AND(P6="Escalated to register",R6=""),"Add Risk ID of promoted risk","")))</f>
        <v/>
      </c>
    </row>
    <row r="7" spans="1:21" ht="25" x14ac:dyDescent="0.35">
      <c r="A7" s="35" t="s">
        <v>507</v>
      </c>
      <c r="B7" s="24" t="s">
        <v>508</v>
      </c>
      <c r="C7" s="24" t="s">
        <v>509</v>
      </c>
      <c r="D7" s="24" t="s">
        <v>510</v>
      </c>
      <c r="E7" s="35" t="s">
        <v>197</v>
      </c>
      <c r="F7" s="35" t="s">
        <v>261</v>
      </c>
      <c r="G7" s="46">
        <v>46254</v>
      </c>
      <c r="H7" s="36" t="s">
        <v>511</v>
      </c>
      <c r="I7" s="36" t="s">
        <v>168</v>
      </c>
      <c r="J7" s="36">
        <v>4</v>
      </c>
      <c r="K7" s="36">
        <v>4</v>
      </c>
      <c r="L7" s="37">
        <f t="shared" si="0"/>
        <v>16</v>
      </c>
      <c r="M7" s="48">
        <f>IF(I7="","",IFERROR(INDEX(Methodology!$B$54:$B$57,MATCH(I7,Methodology!$A$54:$A$57,0)),""))</f>
        <v>1.2</v>
      </c>
      <c r="N7" s="37">
        <f t="shared" si="1"/>
        <v>19</v>
      </c>
      <c r="O7" s="37" t="str">
        <f>IF(N7="","",INDEX(Methodology!$B$26:$B$29,MATCH(N7,Methodology!$A$26:$A$29,1)))</f>
        <v>Critical</v>
      </c>
      <c r="P7" s="35" t="s">
        <v>512</v>
      </c>
      <c r="Q7" s="24" t="s">
        <v>513</v>
      </c>
      <c r="R7" s="35"/>
      <c r="S7" s="46">
        <v>46346</v>
      </c>
      <c r="T7" s="37" t="str">
        <f ca="1">IF(OR(A7="",S7="",P7="Closed"),"",IF(S7&lt;Methodology!$B$4,"Overdue","On schedule"))</f>
        <v>On schedule</v>
      </c>
      <c r="U7" s="44" t="str">
        <f>IF(OR(A7="",P7="Closed",O7=""),"",IF(AND(P7&lt;&gt;"Escalated to register",OR(O7=Methodology!$B$28,O7=Methodology!$B$29)),"Consider escalating to Risk Register",IF(AND(P7="Escalated to register",R7=""),"Add Risk ID of promoted risk","")))</f>
        <v>Consider escalating to Risk Register</v>
      </c>
    </row>
    <row r="8" spans="1:21" ht="25" x14ac:dyDescent="0.35">
      <c r="A8" s="35" t="s">
        <v>514</v>
      </c>
      <c r="B8" s="24" t="s">
        <v>515</v>
      </c>
      <c r="C8" s="24" t="s">
        <v>516</v>
      </c>
      <c r="D8" s="24" t="s">
        <v>517</v>
      </c>
      <c r="E8" s="35" t="s">
        <v>200</v>
      </c>
      <c r="F8" s="35" t="s">
        <v>278</v>
      </c>
      <c r="G8" s="46">
        <v>46270</v>
      </c>
      <c r="H8" s="36" t="s">
        <v>511</v>
      </c>
      <c r="I8" s="36" t="s">
        <v>108</v>
      </c>
      <c r="J8" s="36">
        <v>3</v>
      </c>
      <c r="K8" s="36">
        <v>4</v>
      </c>
      <c r="L8" s="37">
        <f t="shared" si="0"/>
        <v>12</v>
      </c>
      <c r="M8" s="48">
        <f>IF(I8="","",IFERROR(INDEX(Methodology!$B$54:$B$57,MATCH(I8,Methodology!$A$54:$A$57,0)),""))</f>
        <v>1</v>
      </c>
      <c r="N8" s="37">
        <f t="shared" si="1"/>
        <v>12</v>
      </c>
      <c r="O8" s="37" t="str">
        <f>IF(N8="","",INDEX(Methodology!$B$26:$B$29,MATCH(N8,Methodology!$A$26:$A$29,1)))</f>
        <v>High</v>
      </c>
      <c r="P8" s="35" t="s">
        <v>505</v>
      </c>
      <c r="Q8" s="24" t="s">
        <v>518</v>
      </c>
      <c r="R8" s="35"/>
      <c r="S8" s="46">
        <v>46361</v>
      </c>
      <c r="T8" s="37" t="str">
        <f ca="1">IF(OR(A8="",S8="",P8="Closed"),"",IF(S8&lt;Methodology!$B$4,"Overdue","On schedule"))</f>
        <v>On schedule</v>
      </c>
      <c r="U8" s="44" t="str">
        <f>IF(OR(A8="",P8="Closed",O8=""),"",IF(AND(P8&lt;&gt;"Escalated to register",OR(O8=Methodology!$B$28,O8=Methodology!$B$29)),"Consider escalating to Risk Register",IF(AND(P8="Escalated to register",R8=""),"Add Risk ID of promoted risk","")))</f>
        <v>Consider escalating to Risk Register</v>
      </c>
    </row>
    <row r="9" spans="1:21" ht="25" x14ac:dyDescent="0.35">
      <c r="A9" s="35" t="s">
        <v>519</v>
      </c>
      <c r="B9" s="24" t="s">
        <v>520</v>
      </c>
      <c r="C9" s="24" t="s">
        <v>521</v>
      </c>
      <c r="D9" s="24" t="s">
        <v>522</v>
      </c>
      <c r="E9" s="35" t="s">
        <v>95</v>
      </c>
      <c r="F9" s="35" t="s">
        <v>523</v>
      </c>
      <c r="G9" s="46">
        <v>46188</v>
      </c>
      <c r="H9" s="36" t="s">
        <v>524</v>
      </c>
      <c r="I9" s="36" t="s">
        <v>168</v>
      </c>
      <c r="J9" s="36">
        <v>3</v>
      </c>
      <c r="K9" s="36">
        <v>2</v>
      </c>
      <c r="L9" s="37">
        <f t="shared" si="0"/>
        <v>6</v>
      </c>
      <c r="M9" s="48">
        <f>IF(I9="","",IFERROR(INDEX(Methodology!$B$54:$B$57,MATCH(I9,Methodology!$A$54:$A$57,0)),""))</f>
        <v>1.2</v>
      </c>
      <c r="N9" s="37">
        <f t="shared" si="1"/>
        <v>7</v>
      </c>
      <c r="O9" s="37" t="str">
        <f>IF(N9="","",INDEX(Methodology!$B$26:$B$29,MATCH(N9,Methodology!$A$26:$A$29,1)))</f>
        <v>Medium</v>
      </c>
      <c r="P9" s="35" t="s">
        <v>505</v>
      </c>
      <c r="Q9" s="24" t="s">
        <v>525</v>
      </c>
      <c r="R9" s="35"/>
      <c r="S9" s="46">
        <v>46296</v>
      </c>
      <c r="T9" s="37" t="str">
        <f ca="1">IF(OR(A9="",S9="",P9="Closed"),"",IF(S9&lt;Methodology!$B$4,"Overdue","On schedule"))</f>
        <v>Overdue</v>
      </c>
      <c r="U9" s="44" t="str">
        <f>IF(OR(A9="",P9="Closed",O9=""),"",IF(AND(P9&lt;&gt;"Escalated to register",OR(O9=Methodology!$B$28,O9=Methodology!$B$29)),"Consider escalating to Risk Register",IF(AND(P9="Escalated to register",R9=""),"Add Risk ID of promoted risk","")))</f>
        <v/>
      </c>
    </row>
    <row r="10" spans="1:21" ht="25" x14ac:dyDescent="0.35">
      <c r="A10" s="35" t="s">
        <v>526</v>
      </c>
      <c r="B10" s="24" t="s">
        <v>527</v>
      </c>
      <c r="C10" s="24" t="s">
        <v>528</v>
      </c>
      <c r="D10" s="24" t="s">
        <v>529</v>
      </c>
      <c r="E10" s="35" t="s">
        <v>94</v>
      </c>
      <c r="F10" s="35" t="s">
        <v>296</v>
      </c>
      <c r="G10" s="46">
        <v>46290</v>
      </c>
      <c r="H10" s="36" t="s">
        <v>524</v>
      </c>
      <c r="I10" s="36" t="s">
        <v>170</v>
      </c>
      <c r="J10" s="36">
        <v>4</v>
      </c>
      <c r="K10" s="36">
        <v>4</v>
      </c>
      <c r="L10" s="37">
        <f t="shared" si="0"/>
        <v>16</v>
      </c>
      <c r="M10" s="48">
        <f>IF(I10="","",IFERROR(INDEX(Methodology!$B$54:$B$57,MATCH(I10,Methodology!$A$54:$A$57,0)),""))</f>
        <v>1.4</v>
      </c>
      <c r="N10" s="37">
        <f t="shared" si="1"/>
        <v>22</v>
      </c>
      <c r="O10" s="37" t="str">
        <f>IF(N10="","",INDEX(Methodology!$B$26:$B$29,MATCH(N10,Methodology!$A$26:$A$29,1)))</f>
        <v>Critical</v>
      </c>
      <c r="P10" s="35" t="s">
        <v>530</v>
      </c>
      <c r="Q10" s="24" t="s">
        <v>531</v>
      </c>
      <c r="R10" s="35"/>
      <c r="S10" s="46">
        <v>46381</v>
      </c>
      <c r="T10" s="37" t="str">
        <f ca="1">IF(OR(A10="",S10="",P10="Closed"),"",IF(S10&lt;Methodology!$B$4,"Overdue","On schedule"))</f>
        <v>On schedule</v>
      </c>
      <c r="U10" s="44" t="str">
        <f>IF(OR(A10="",P10="Closed",O10=""),"",IF(AND(P10&lt;&gt;"Escalated to register",OR(O10=Methodology!$B$28,O10=Methodology!$B$29)),"Consider escalating to Risk Register",IF(AND(P10="Escalated to register",R10=""),"Add Risk ID of promoted risk","")))</f>
        <v>Add Risk ID of promoted risk</v>
      </c>
    </row>
    <row r="11" spans="1:21" x14ac:dyDescent="0.35">
      <c r="A11" s="35"/>
      <c r="B11" s="24"/>
      <c r="C11" s="24"/>
      <c r="D11" s="24"/>
      <c r="E11" s="35"/>
      <c r="F11" s="35"/>
      <c r="G11" s="46"/>
      <c r="H11" s="36"/>
      <c r="I11" s="36"/>
      <c r="J11" s="36"/>
      <c r="K11" s="36"/>
      <c r="L11" s="37" t="str">
        <f t="shared" si="0"/>
        <v/>
      </c>
      <c r="M11" s="37" t="str">
        <f>IF(I11="","",IFERROR(INDEX(Methodology!$B$54:$B$57,MATCH(I11,Methodology!$A$54:$A$57,0)),""))</f>
        <v/>
      </c>
      <c r="N11" s="37" t="str">
        <f t="shared" si="1"/>
        <v/>
      </c>
      <c r="O11" s="37" t="str">
        <f>IF(N11="","",INDEX(Methodology!$B$26:$B$29,MATCH(N11,Methodology!$A$26:$A$29,1)))</f>
        <v/>
      </c>
      <c r="P11" s="35"/>
      <c r="Q11" s="24"/>
      <c r="R11" s="35"/>
      <c r="S11" s="46"/>
      <c r="T11" s="37" t="str">
        <f>IF(OR(A11="",S11="",P11="Closed"),"",IF(S11&lt;Methodology!$B$4,"Overdue","On schedule"))</f>
        <v/>
      </c>
      <c r="U11" s="44" t="str">
        <f>IF(OR(A11="",P11="Closed",O11=""),"",IF(AND(P11&lt;&gt;"Escalated to register",OR(O11=Methodology!$B$28,O11=Methodology!$B$29)),"Consider escalating to Risk Register",IF(AND(P11="Escalated to register",R11=""),"Add Risk ID of promoted risk","")))</f>
        <v/>
      </c>
    </row>
    <row r="12" spans="1:21" x14ac:dyDescent="0.35">
      <c r="A12" s="35"/>
      <c r="B12" s="24"/>
      <c r="C12" s="24"/>
      <c r="D12" s="24"/>
      <c r="E12" s="35"/>
      <c r="F12" s="35"/>
      <c r="G12" s="46"/>
      <c r="H12" s="36"/>
      <c r="I12" s="36"/>
      <c r="J12" s="36"/>
      <c r="K12" s="36"/>
      <c r="L12" s="37" t="str">
        <f t="shared" si="0"/>
        <v/>
      </c>
      <c r="M12" s="37" t="str">
        <f>IF(I12="","",IFERROR(INDEX(Methodology!$B$54:$B$57,MATCH(I12,Methodology!$A$54:$A$57,0)),""))</f>
        <v/>
      </c>
      <c r="N12" s="37" t="str">
        <f t="shared" si="1"/>
        <v/>
      </c>
      <c r="O12" s="37" t="str">
        <f>IF(N12="","",INDEX(Methodology!$B$26:$B$29,MATCH(N12,Methodology!$A$26:$A$29,1)))</f>
        <v/>
      </c>
      <c r="P12" s="35"/>
      <c r="Q12" s="24"/>
      <c r="R12" s="35"/>
      <c r="S12" s="46"/>
      <c r="T12" s="37" t="str">
        <f>IF(OR(A12="",S12="",P12="Closed"),"",IF(S12&lt;Methodology!$B$4,"Overdue","On schedule"))</f>
        <v/>
      </c>
      <c r="U12" s="44" t="str">
        <f>IF(OR(A12="",P12="Closed",O12=""),"",IF(AND(P12&lt;&gt;"Escalated to register",OR(O12=Methodology!$B$28,O12=Methodology!$B$29)),"Consider escalating to Risk Register",IF(AND(P12="Escalated to register",R12=""),"Add Risk ID of promoted risk","")))</f>
        <v/>
      </c>
    </row>
    <row r="13" spans="1:21" x14ac:dyDescent="0.35">
      <c r="A13" s="35"/>
      <c r="B13" s="24"/>
      <c r="C13" s="24"/>
      <c r="D13" s="24"/>
      <c r="E13" s="35"/>
      <c r="F13" s="35"/>
      <c r="G13" s="46"/>
      <c r="H13" s="36"/>
      <c r="I13" s="36"/>
      <c r="J13" s="36"/>
      <c r="K13" s="36"/>
      <c r="L13" s="37" t="str">
        <f t="shared" si="0"/>
        <v/>
      </c>
      <c r="M13" s="37" t="str">
        <f>IF(I13="","",IFERROR(INDEX(Methodology!$B$54:$B$57,MATCH(I13,Methodology!$A$54:$A$57,0)),""))</f>
        <v/>
      </c>
      <c r="N13" s="37" t="str">
        <f t="shared" si="1"/>
        <v/>
      </c>
      <c r="O13" s="37" t="str">
        <f>IF(N13="","",INDEX(Methodology!$B$26:$B$29,MATCH(N13,Methodology!$A$26:$A$29,1)))</f>
        <v/>
      </c>
      <c r="P13" s="35"/>
      <c r="Q13" s="24"/>
      <c r="R13" s="35"/>
      <c r="S13" s="46"/>
      <c r="T13" s="37" t="str">
        <f>IF(OR(A13="",S13="",P13="Closed"),"",IF(S13&lt;Methodology!$B$4,"Overdue","On schedule"))</f>
        <v/>
      </c>
      <c r="U13" s="44" t="str">
        <f>IF(OR(A13="",P13="Closed",O13=""),"",IF(AND(P13&lt;&gt;"Escalated to register",OR(O13=Methodology!$B$28,O13=Methodology!$B$29)),"Consider escalating to Risk Register",IF(AND(P13="Escalated to register",R13=""),"Add Risk ID of promoted risk","")))</f>
        <v/>
      </c>
    </row>
    <row r="14" spans="1:21" x14ac:dyDescent="0.35">
      <c r="A14" s="35"/>
      <c r="B14" s="24"/>
      <c r="C14" s="24"/>
      <c r="D14" s="24"/>
      <c r="E14" s="35"/>
      <c r="F14" s="35"/>
      <c r="G14" s="46"/>
      <c r="H14" s="36"/>
      <c r="I14" s="36"/>
      <c r="J14" s="36"/>
      <c r="K14" s="36"/>
      <c r="L14" s="37" t="str">
        <f t="shared" si="0"/>
        <v/>
      </c>
      <c r="M14" s="37" t="str">
        <f>IF(I14="","",IFERROR(INDEX(Methodology!$B$54:$B$57,MATCH(I14,Methodology!$A$54:$A$57,0)),""))</f>
        <v/>
      </c>
      <c r="N14" s="37" t="str">
        <f t="shared" si="1"/>
        <v/>
      </c>
      <c r="O14" s="37" t="str">
        <f>IF(N14="","",INDEX(Methodology!$B$26:$B$29,MATCH(N14,Methodology!$A$26:$A$29,1)))</f>
        <v/>
      </c>
      <c r="P14" s="35"/>
      <c r="Q14" s="24"/>
      <c r="R14" s="35"/>
      <c r="S14" s="46"/>
      <c r="T14" s="37" t="str">
        <f>IF(OR(A14="",S14="",P14="Closed"),"",IF(S14&lt;Methodology!$B$4,"Overdue","On schedule"))</f>
        <v/>
      </c>
      <c r="U14" s="44" t="str">
        <f>IF(OR(A14="",P14="Closed",O14=""),"",IF(AND(P14&lt;&gt;"Escalated to register",OR(O14=Methodology!$B$28,O14=Methodology!$B$29)),"Consider escalating to Risk Register",IF(AND(P14="Escalated to register",R14=""),"Add Risk ID of promoted risk","")))</f>
        <v/>
      </c>
    </row>
    <row r="15" spans="1:21" x14ac:dyDescent="0.35">
      <c r="A15" s="35"/>
      <c r="B15" s="24"/>
      <c r="C15" s="24"/>
      <c r="D15" s="24"/>
      <c r="E15" s="35"/>
      <c r="F15" s="35"/>
      <c r="G15" s="46"/>
      <c r="H15" s="36"/>
      <c r="I15" s="36"/>
      <c r="J15" s="36"/>
      <c r="K15" s="36"/>
      <c r="L15" s="37" t="str">
        <f t="shared" si="0"/>
        <v/>
      </c>
      <c r="M15" s="37" t="str">
        <f>IF(I15="","",IFERROR(INDEX(Methodology!$B$54:$B$57,MATCH(I15,Methodology!$A$54:$A$57,0)),""))</f>
        <v/>
      </c>
      <c r="N15" s="37" t="str">
        <f t="shared" si="1"/>
        <v/>
      </c>
      <c r="O15" s="37" t="str">
        <f>IF(N15="","",INDEX(Methodology!$B$26:$B$29,MATCH(N15,Methodology!$A$26:$A$29,1)))</f>
        <v/>
      </c>
      <c r="P15" s="35"/>
      <c r="Q15" s="24"/>
      <c r="R15" s="35"/>
      <c r="S15" s="46"/>
      <c r="T15" s="37" t="str">
        <f>IF(OR(A15="",S15="",P15="Closed"),"",IF(S15&lt;Methodology!$B$4,"Overdue","On schedule"))</f>
        <v/>
      </c>
      <c r="U15" s="44" t="str">
        <f>IF(OR(A15="",P15="Closed",O15=""),"",IF(AND(P15&lt;&gt;"Escalated to register",OR(O15=Methodology!$B$28,O15=Methodology!$B$29)),"Consider escalating to Risk Register",IF(AND(P15="Escalated to register",R15=""),"Add Risk ID of promoted risk","")))</f>
        <v/>
      </c>
    </row>
    <row r="16" spans="1:21" x14ac:dyDescent="0.35">
      <c r="A16" s="35"/>
      <c r="B16" s="24"/>
      <c r="C16" s="24"/>
      <c r="D16" s="24"/>
      <c r="E16" s="35"/>
      <c r="F16" s="35"/>
      <c r="G16" s="46"/>
      <c r="H16" s="36"/>
      <c r="I16" s="36"/>
      <c r="J16" s="36"/>
      <c r="K16" s="36"/>
      <c r="L16" s="37" t="str">
        <f t="shared" si="0"/>
        <v/>
      </c>
      <c r="M16" s="37" t="str">
        <f>IF(I16="","",IFERROR(INDEX(Methodology!$B$54:$B$57,MATCH(I16,Methodology!$A$54:$A$57,0)),""))</f>
        <v/>
      </c>
      <c r="N16" s="37" t="str">
        <f t="shared" si="1"/>
        <v/>
      </c>
      <c r="O16" s="37" t="str">
        <f>IF(N16="","",INDEX(Methodology!$B$26:$B$29,MATCH(N16,Methodology!$A$26:$A$29,1)))</f>
        <v/>
      </c>
      <c r="P16" s="35"/>
      <c r="Q16" s="24"/>
      <c r="R16" s="35"/>
      <c r="S16" s="46"/>
      <c r="T16" s="37" t="str">
        <f>IF(OR(A16="",S16="",P16="Closed"),"",IF(S16&lt;Methodology!$B$4,"Overdue","On schedule"))</f>
        <v/>
      </c>
      <c r="U16" s="44" t="str">
        <f>IF(OR(A16="",P16="Closed",O16=""),"",IF(AND(P16&lt;&gt;"Escalated to register",OR(O16=Methodology!$B$28,O16=Methodology!$B$29)),"Consider escalating to Risk Register",IF(AND(P16="Escalated to register",R16=""),"Add Risk ID of promoted risk","")))</f>
        <v/>
      </c>
    </row>
    <row r="17" spans="1:21" x14ac:dyDescent="0.35">
      <c r="A17" s="35"/>
      <c r="B17" s="24"/>
      <c r="C17" s="24"/>
      <c r="D17" s="24"/>
      <c r="E17" s="35"/>
      <c r="F17" s="35"/>
      <c r="G17" s="46"/>
      <c r="H17" s="36"/>
      <c r="I17" s="36"/>
      <c r="J17" s="36"/>
      <c r="K17" s="36"/>
      <c r="L17" s="37" t="str">
        <f t="shared" si="0"/>
        <v/>
      </c>
      <c r="M17" s="37" t="str">
        <f>IF(I17="","",IFERROR(INDEX(Methodology!$B$54:$B$57,MATCH(I17,Methodology!$A$54:$A$57,0)),""))</f>
        <v/>
      </c>
      <c r="N17" s="37" t="str">
        <f t="shared" si="1"/>
        <v/>
      </c>
      <c r="O17" s="37" t="str">
        <f>IF(N17="","",INDEX(Methodology!$B$26:$B$29,MATCH(N17,Methodology!$A$26:$A$29,1)))</f>
        <v/>
      </c>
      <c r="P17" s="35"/>
      <c r="Q17" s="24"/>
      <c r="R17" s="35"/>
      <c r="S17" s="46"/>
      <c r="T17" s="37" t="str">
        <f>IF(OR(A17="",S17="",P17="Closed"),"",IF(S17&lt;Methodology!$B$4,"Overdue","On schedule"))</f>
        <v/>
      </c>
      <c r="U17" s="44" t="str">
        <f>IF(OR(A17="",P17="Closed",O17=""),"",IF(AND(P17&lt;&gt;"Escalated to register",OR(O17=Methodology!$B$28,O17=Methodology!$B$29)),"Consider escalating to Risk Register",IF(AND(P17="Escalated to register",R17=""),"Add Risk ID of promoted risk","")))</f>
        <v/>
      </c>
    </row>
    <row r="18" spans="1:21" x14ac:dyDescent="0.35">
      <c r="A18" s="35"/>
      <c r="B18" s="24"/>
      <c r="C18" s="24"/>
      <c r="D18" s="24"/>
      <c r="E18" s="35"/>
      <c r="F18" s="35"/>
      <c r="G18" s="46"/>
      <c r="H18" s="36"/>
      <c r="I18" s="36"/>
      <c r="J18" s="36"/>
      <c r="K18" s="36"/>
      <c r="L18" s="37" t="str">
        <f t="shared" si="0"/>
        <v/>
      </c>
      <c r="M18" s="37" t="str">
        <f>IF(I18="","",IFERROR(INDEX(Methodology!$B$54:$B$57,MATCH(I18,Methodology!$A$54:$A$57,0)),""))</f>
        <v/>
      </c>
      <c r="N18" s="37" t="str">
        <f t="shared" si="1"/>
        <v/>
      </c>
      <c r="O18" s="37" t="str">
        <f>IF(N18="","",INDEX(Methodology!$B$26:$B$29,MATCH(N18,Methodology!$A$26:$A$29,1)))</f>
        <v/>
      </c>
      <c r="P18" s="35"/>
      <c r="Q18" s="24"/>
      <c r="R18" s="35"/>
      <c r="S18" s="46"/>
      <c r="T18" s="37" t="str">
        <f>IF(OR(A18="",S18="",P18="Closed"),"",IF(S18&lt;Methodology!$B$4,"Overdue","On schedule"))</f>
        <v/>
      </c>
      <c r="U18" s="44" t="str">
        <f>IF(OR(A18="",P18="Closed",O18=""),"",IF(AND(P18&lt;&gt;"Escalated to register",OR(O18=Methodology!$B$28,O18=Methodology!$B$29)),"Consider escalating to Risk Register",IF(AND(P18="Escalated to register",R18=""),"Add Risk ID of promoted risk","")))</f>
        <v/>
      </c>
    </row>
    <row r="19" spans="1:21" x14ac:dyDescent="0.35">
      <c r="A19" s="35"/>
      <c r="B19" s="24"/>
      <c r="C19" s="24"/>
      <c r="D19" s="24"/>
      <c r="E19" s="35"/>
      <c r="F19" s="35"/>
      <c r="G19" s="46"/>
      <c r="H19" s="36"/>
      <c r="I19" s="36"/>
      <c r="J19" s="36"/>
      <c r="K19" s="36"/>
      <c r="L19" s="37" t="str">
        <f t="shared" si="0"/>
        <v/>
      </c>
      <c r="M19" s="37" t="str">
        <f>IF(I19="","",IFERROR(INDEX(Methodology!$B$54:$B$57,MATCH(I19,Methodology!$A$54:$A$57,0)),""))</f>
        <v/>
      </c>
      <c r="N19" s="37" t="str">
        <f t="shared" si="1"/>
        <v/>
      </c>
      <c r="O19" s="37" t="str">
        <f>IF(N19="","",INDEX(Methodology!$B$26:$B$29,MATCH(N19,Methodology!$A$26:$A$29,1)))</f>
        <v/>
      </c>
      <c r="P19" s="35"/>
      <c r="Q19" s="24"/>
      <c r="R19" s="35"/>
      <c r="S19" s="46"/>
      <c r="T19" s="37" t="str">
        <f>IF(OR(A19="",S19="",P19="Closed"),"",IF(S19&lt;Methodology!$B$4,"Overdue","On schedule"))</f>
        <v/>
      </c>
      <c r="U19" s="44" t="str">
        <f>IF(OR(A19="",P19="Closed",O19=""),"",IF(AND(P19&lt;&gt;"Escalated to register",OR(O19=Methodology!$B$28,O19=Methodology!$B$29)),"Consider escalating to Risk Register",IF(AND(P19="Escalated to register",R19=""),"Add Risk ID of promoted risk","")))</f>
        <v/>
      </c>
    </row>
    <row r="20" spans="1:21" x14ac:dyDescent="0.35">
      <c r="A20" s="35"/>
      <c r="B20" s="24"/>
      <c r="C20" s="24"/>
      <c r="D20" s="24"/>
      <c r="E20" s="35"/>
      <c r="F20" s="35"/>
      <c r="G20" s="46"/>
      <c r="H20" s="36"/>
      <c r="I20" s="36"/>
      <c r="J20" s="36"/>
      <c r="K20" s="36"/>
      <c r="L20" s="37" t="str">
        <f t="shared" si="0"/>
        <v/>
      </c>
      <c r="M20" s="37" t="str">
        <f>IF(I20="","",IFERROR(INDEX(Methodology!$B$54:$B$57,MATCH(I20,Methodology!$A$54:$A$57,0)),""))</f>
        <v/>
      </c>
      <c r="N20" s="37" t="str">
        <f t="shared" si="1"/>
        <v/>
      </c>
      <c r="O20" s="37" t="str">
        <f>IF(N20="","",INDEX(Methodology!$B$26:$B$29,MATCH(N20,Methodology!$A$26:$A$29,1)))</f>
        <v/>
      </c>
      <c r="P20" s="35"/>
      <c r="Q20" s="24"/>
      <c r="R20" s="35"/>
      <c r="S20" s="46"/>
      <c r="T20" s="37" t="str">
        <f>IF(OR(A20="",S20="",P20="Closed"),"",IF(S20&lt;Methodology!$B$4,"Overdue","On schedule"))</f>
        <v/>
      </c>
      <c r="U20" s="44" t="str">
        <f>IF(OR(A20="",P20="Closed",O20=""),"",IF(AND(P20&lt;&gt;"Escalated to register",OR(O20=Methodology!$B$28,O20=Methodology!$B$29)),"Consider escalating to Risk Register",IF(AND(P20="Escalated to register",R20=""),"Add Risk ID of promoted risk","")))</f>
        <v/>
      </c>
    </row>
    <row r="21" spans="1:21" x14ac:dyDescent="0.35">
      <c r="A21" s="35"/>
      <c r="B21" s="24"/>
      <c r="C21" s="24"/>
      <c r="D21" s="24"/>
      <c r="E21" s="35"/>
      <c r="F21" s="35"/>
      <c r="G21" s="46"/>
      <c r="H21" s="36"/>
      <c r="I21" s="36"/>
      <c r="J21" s="36"/>
      <c r="K21" s="36"/>
      <c r="L21" s="37" t="str">
        <f t="shared" si="0"/>
        <v/>
      </c>
      <c r="M21" s="37" t="str">
        <f>IF(I21="","",IFERROR(INDEX(Methodology!$B$54:$B$57,MATCH(I21,Methodology!$A$54:$A$57,0)),""))</f>
        <v/>
      </c>
      <c r="N21" s="37" t="str">
        <f t="shared" si="1"/>
        <v/>
      </c>
      <c r="O21" s="37" t="str">
        <f>IF(N21="","",INDEX(Methodology!$B$26:$B$29,MATCH(N21,Methodology!$A$26:$A$29,1)))</f>
        <v/>
      </c>
      <c r="P21" s="35"/>
      <c r="Q21" s="24"/>
      <c r="R21" s="35"/>
      <c r="S21" s="46"/>
      <c r="T21" s="37" t="str">
        <f>IF(OR(A21="",S21="",P21="Closed"),"",IF(S21&lt;Methodology!$B$4,"Overdue","On schedule"))</f>
        <v/>
      </c>
      <c r="U21" s="44" t="str">
        <f>IF(OR(A21="",P21="Closed",O21=""),"",IF(AND(P21&lt;&gt;"Escalated to register",OR(O21=Methodology!$B$28,O21=Methodology!$B$29)),"Consider escalating to Risk Register",IF(AND(P21="Escalated to register",R21=""),"Add Risk ID of promoted risk","")))</f>
        <v/>
      </c>
    </row>
    <row r="22" spans="1:21" x14ac:dyDescent="0.35">
      <c r="A22" s="35"/>
      <c r="B22" s="24"/>
      <c r="C22" s="24"/>
      <c r="D22" s="24"/>
      <c r="E22" s="35"/>
      <c r="F22" s="35"/>
      <c r="G22" s="46"/>
      <c r="H22" s="36"/>
      <c r="I22" s="36"/>
      <c r="J22" s="36"/>
      <c r="K22" s="36"/>
      <c r="L22" s="37" t="str">
        <f t="shared" si="0"/>
        <v/>
      </c>
      <c r="M22" s="37" t="str">
        <f>IF(I22="","",IFERROR(INDEX(Methodology!$B$54:$B$57,MATCH(I22,Methodology!$A$54:$A$57,0)),""))</f>
        <v/>
      </c>
      <c r="N22" s="37" t="str">
        <f t="shared" si="1"/>
        <v/>
      </c>
      <c r="O22" s="37" t="str">
        <f>IF(N22="","",INDEX(Methodology!$B$26:$B$29,MATCH(N22,Methodology!$A$26:$A$29,1)))</f>
        <v/>
      </c>
      <c r="P22" s="35"/>
      <c r="Q22" s="24"/>
      <c r="R22" s="35"/>
      <c r="S22" s="46"/>
      <c r="T22" s="37" t="str">
        <f>IF(OR(A22="",S22="",P22="Closed"),"",IF(S22&lt;Methodology!$B$4,"Overdue","On schedule"))</f>
        <v/>
      </c>
      <c r="U22" s="44" t="str">
        <f>IF(OR(A22="",P22="Closed",O22=""),"",IF(AND(P22&lt;&gt;"Escalated to register",OR(O22=Methodology!$B$28,O22=Methodology!$B$29)),"Consider escalating to Risk Register",IF(AND(P22="Escalated to register",R22=""),"Add Risk ID of promoted risk","")))</f>
        <v/>
      </c>
    </row>
    <row r="23" spans="1:21" x14ac:dyDescent="0.35">
      <c r="A23" s="35"/>
      <c r="B23" s="24"/>
      <c r="C23" s="24"/>
      <c r="D23" s="24"/>
      <c r="E23" s="35"/>
      <c r="F23" s="35"/>
      <c r="G23" s="46"/>
      <c r="H23" s="36"/>
      <c r="I23" s="36"/>
      <c r="J23" s="36"/>
      <c r="K23" s="36"/>
      <c r="L23" s="37" t="str">
        <f t="shared" si="0"/>
        <v/>
      </c>
      <c r="M23" s="37" t="str">
        <f>IF(I23="","",IFERROR(INDEX(Methodology!$B$54:$B$57,MATCH(I23,Methodology!$A$54:$A$57,0)),""))</f>
        <v/>
      </c>
      <c r="N23" s="37" t="str">
        <f t="shared" si="1"/>
        <v/>
      </c>
      <c r="O23" s="37" t="str">
        <f>IF(N23="","",INDEX(Methodology!$B$26:$B$29,MATCH(N23,Methodology!$A$26:$A$29,1)))</f>
        <v/>
      </c>
      <c r="P23" s="35"/>
      <c r="Q23" s="24"/>
      <c r="R23" s="35"/>
      <c r="S23" s="46"/>
      <c r="T23" s="37" t="str">
        <f>IF(OR(A23="",S23="",P23="Closed"),"",IF(S23&lt;Methodology!$B$4,"Overdue","On schedule"))</f>
        <v/>
      </c>
      <c r="U23" s="44" t="str">
        <f>IF(OR(A23="",P23="Closed",O23=""),"",IF(AND(P23&lt;&gt;"Escalated to register",OR(O23=Methodology!$B$28,O23=Methodology!$B$29)),"Consider escalating to Risk Register",IF(AND(P23="Escalated to register",R23=""),"Add Risk ID of promoted risk","")))</f>
        <v/>
      </c>
    </row>
    <row r="24" spans="1:21" x14ac:dyDescent="0.35">
      <c r="A24" s="35"/>
      <c r="B24" s="24"/>
      <c r="C24" s="24"/>
      <c r="D24" s="24"/>
      <c r="E24" s="35"/>
      <c r="F24" s="35"/>
      <c r="G24" s="46"/>
      <c r="H24" s="36"/>
      <c r="I24" s="36"/>
      <c r="J24" s="36"/>
      <c r="K24" s="36"/>
      <c r="L24" s="37" t="str">
        <f t="shared" si="0"/>
        <v/>
      </c>
      <c r="M24" s="37" t="str">
        <f>IF(I24="","",IFERROR(INDEX(Methodology!$B$54:$B$57,MATCH(I24,Methodology!$A$54:$A$57,0)),""))</f>
        <v/>
      </c>
      <c r="N24" s="37" t="str">
        <f t="shared" si="1"/>
        <v/>
      </c>
      <c r="O24" s="37" t="str">
        <f>IF(N24="","",INDEX(Methodology!$B$26:$B$29,MATCH(N24,Methodology!$A$26:$A$29,1)))</f>
        <v/>
      </c>
      <c r="P24" s="35"/>
      <c r="Q24" s="24"/>
      <c r="R24" s="35"/>
      <c r="S24" s="46"/>
      <c r="T24" s="37" t="str">
        <f>IF(OR(A24="",S24="",P24="Closed"),"",IF(S24&lt;Methodology!$B$4,"Overdue","On schedule"))</f>
        <v/>
      </c>
      <c r="U24" s="44" t="str">
        <f>IF(OR(A24="",P24="Closed",O24=""),"",IF(AND(P24&lt;&gt;"Escalated to register",OR(O24=Methodology!$B$28,O24=Methodology!$B$29)),"Consider escalating to Risk Register",IF(AND(P24="Escalated to register",R24=""),"Add Risk ID of promoted risk","")))</f>
        <v/>
      </c>
    </row>
    <row r="25" spans="1:21" x14ac:dyDescent="0.35">
      <c r="A25" s="35"/>
      <c r="B25" s="24"/>
      <c r="C25" s="24"/>
      <c r="D25" s="24"/>
      <c r="E25" s="35"/>
      <c r="F25" s="35"/>
      <c r="G25" s="46"/>
      <c r="H25" s="36"/>
      <c r="I25" s="36"/>
      <c r="J25" s="36"/>
      <c r="K25" s="36"/>
      <c r="L25" s="37" t="str">
        <f t="shared" si="0"/>
        <v/>
      </c>
      <c r="M25" s="37" t="str">
        <f>IF(I25="","",IFERROR(INDEX(Methodology!$B$54:$B$57,MATCH(I25,Methodology!$A$54:$A$57,0)),""))</f>
        <v/>
      </c>
      <c r="N25" s="37" t="str">
        <f t="shared" si="1"/>
        <v/>
      </c>
      <c r="O25" s="37" t="str">
        <f>IF(N25="","",INDEX(Methodology!$B$26:$B$29,MATCH(N25,Methodology!$A$26:$A$29,1)))</f>
        <v/>
      </c>
      <c r="P25" s="35"/>
      <c r="Q25" s="24"/>
      <c r="R25" s="35"/>
      <c r="S25" s="46"/>
      <c r="T25" s="37" t="str">
        <f>IF(OR(A25="",S25="",P25="Closed"),"",IF(S25&lt;Methodology!$B$4,"Overdue","On schedule"))</f>
        <v/>
      </c>
      <c r="U25" s="44" t="str">
        <f>IF(OR(A25="",P25="Closed",O25=""),"",IF(AND(P25&lt;&gt;"Escalated to register",OR(O25=Methodology!$B$28,O25=Methodology!$B$29)),"Consider escalating to Risk Register",IF(AND(P25="Escalated to register",R25=""),"Add Risk ID of promoted risk","")))</f>
        <v/>
      </c>
    </row>
    <row r="26" spans="1:21" x14ac:dyDescent="0.35">
      <c r="A26" s="35"/>
      <c r="B26" s="24"/>
      <c r="C26" s="24"/>
      <c r="D26" s="24"/>
      <c r="E26" s="35"/>
      <c r="F26" s="35"/>
      <c r="G26" s="46"/>
      <c r="H26" s="36"/>
      <c r="I26" s="36"/>
      <c r="J26" s="36"/>
      <c r="K26" s="36"/>
      <c r="L26" s="37" t="str">
        <f t="shared" si="0"/>
        <v/>
      </c>
      <c r="M26" s="37" t="str">
        <f>IF(I26="","",IFERROR(INDEX(Methodology!$B$54:$B$57,MATCH(I26,Methodology!$A$54:$A$57,0)),""))</f>
        <v/>
      </c>
      <c r="N26" s="37" t="str">
        <f t="shared" si="1"/>
        <v/>
      </c>
      <c r="O26" s="37" t="str">
        <f>IF(N26="","",INDEX(Methodology!$B$26:$B$29,MATCH(N26,Methodology!$A$26:$A$29,1)))</f>
        <v/>
      </c>
      <c r="P26" s="35"/>
      <c r="Q26" s="24"/>
      <c r="R26" s="35"/>
      <c r="S26" s="46"/>
      <c r="T26" s="37" t="str">
        <f>IF(OR(A26="",S26="",P26="Closed"),"",IF(S26&lt;Methodology!$B$4,"Overdue","On schedule"))</f>
        <v/>
      </c>
      <c r="U26" s="44" t="str">
        <f>IF(OR(A26="",P26="Closed",O26=""),"",IF(AND(P26&lt;&gt;"Escalated to register",OR(O26=Methodology!$B$28,O26=Methodology!$B$29)),"Consider escalating to Risk Register",IF(AND(P26="Escalated to register",R26=""),"Add Risk ID of promoted risk","")))</f>
        <v/>
      </c>
    </row>
    <row r="27" spans="1:21" x14ac:dyDescent="0.35">
      <c r="A27" s="35"/>
      <c r="B27" s="24"/>
      <c r="C27" s="24"/>
      <c r="D27" s="24"/>
      <c r="E27" s="35"/>
      <c r="F27" s="35"/>
      <c r="G27" s="46"/>
      <c r="H27" s="36"/>
      <c r="I27" s="36"/>
      <c r="J27" s="36"/>
      <c r="K27" s="36"/>
      <c r="L27" s="37" t="str">
        <f t="shared" si="0"/>
        <v/>
      </c>
      <c r="M27" s="37" t="str">
        <f>IF(I27="","",IFERROR(INDEX(Methodology!$B$54:$B$57,MATCH(I27,Methodology!$A$54:$A$57,0)),""))</f>
        <v/>
      </c>
      <c r="N27" s="37" t="str">
        <f t="shared" si="1"/>
        <v/>
      </c>
      <c r="O27" s="37" t="str">
        <f>IF(N27="","",INDEX(Methodology!$B$26:$B$29,MATCH(N27,Methodology!$A$26:$A$29,1)))</f>
        <v/>
      </c>
      <c r="P27" s="35"/>
      <c r="Q27" s="24"/>
      <c r="R27" s="35"/>
      <c r="S27" s="46"/>
      <c r="T27" s="37" t="str">
        <f>IF(OR(A27="",S27="",P27="Closed"),"",IF(S27&lt;Methodology!$B$4,"Overdue","On schedule"))</f>
        <v/>
      </c>
      <c r="U27" s="44" t="str">
        <f>IF(OR(A27="",P27="Closed",O27=""),"",IF(AND(P27&lt;&gt;"Escalated to register",OR(O27=Methodology!$B$28,O27=Methodology!$B$29)),"Consider escalating to Risk Register",IF(AND(P27="Escalated to register",R27=""),"Add Risk ID of promoted risk","")))</f>
        <v/>
      </c>
    </row>
    <row r="28" spans="1:21" x14ac:dyDescent="0.35">
      <c r="A28" s="35"/>
      <c r="B28" s="24"/>
      <c r="C28" s="24"/>
      <c r="D28" s="24"/>
      <c r="E28" s="35"/>
      <c r="F28" s="35"/>
      <c r="G28" s="46"/>
      <c r="H28" s="36"/>
      <c r="I28" s="36"/>
      <c r="J28" s="36"/>
      <c r="K28" s="36"/>
      <c r="L28" s="37" t="str">
        <f t="shared" si="0"/>
        <v/>
      </c>
      <c r="M28" s="37" t="str">
        <f>IF(I28="","",IFERROR(INDEX(Methodology!$B$54:$B$57,MATCH(I28,Methodology!$A$54:$A$57,0)),""))</f>
        <v/>
      </c>
      <c r="N28" s="37" t="str">
        <f t="shared" si="1"/>
        <v/>
      </c>
      <c r="O28" s="37" t="str">
        <f>IF(N28="","",INDEX(Methodology!$B$26:$B$29,MATCH(N28,Methodology!$A$26:$A$29,1)))</f>
        <v/>
      </c>
      <c r="P28" s="35"/>
      <c r="Q28" s="24"/>
      <c r="R28" s="35"/>
      <c r="S28" s="46"/>
      <c r="T28" s="37" t="str">
        <f>IF(OR(A28="",S28="",P28="Closed"),"",IF(S28&lt;Methodology!$B$4,"Overdue","On schedule"))</f>
        <v/>
      </c>
      <c r="U28" s="44" t="str">
        <f>IF(OR(A28="",P28="Closed",O28=""),"",IF(AND(P28&lt;&gt;"Escalated to register",OR(O28=Methodology!$B$28,O28=Methodology!$B$29)),"Consider escalating to Risk Register",IF(AND(P28="Escalated to register",R28=""),"Add Risk ID of promoted risk","")))</f>
        <v/>
      </c>
    </row>
    <row r="29" spans="1:21" x14ac:dyDescent="0.35">
      <c r="A29" s="35"/>
      <c r="B29" s="24"/>
      <c r="C29" s="24"/>
      <c r="D29" s="24"/>
      <c r="E29" s="35"/>
      <c r="F29" s="35"/>
      <c r="G29" s="46"/>
      <c r="H29" s="36"/>
      <c r="I29" s="36"/>
      <c r="J29" s="36"/>
      <c r="K29" s="36"/>
      <c r="L29" s="37" t="str">
        <f t="shared" si="0"/>
        <v/>
      </c>
      <c r="M29" s="37" t="str">
        <f>IF(I29="","",IFERROR(INDEX(Methodology!$B$54:$B$57,MATCH(I29,Methodology!$A$54:$A$57,0)),""))</f>
        <v/>
      </c>
      <c r="N29" s="37" t="str">
        <f t="shared" si="1"/>
        <v/>
      </c>
      <c r="O29" s="37" t="str">
        <f>IF(N29="","",INDEX(Methodology!$B$26:$B$29,MATCH(N29,Methodology!$A$26:$A$29,1)))</f>
        <v/>
      </c>
      <c r="P29" s="35"/>
      <c r="Q29" s="24"/>
      <c r="R29" s="35"/>
      <c r="S29" s="46"/>
      <c r="T29" s="37" t="str">
        <f>IF(OR(A29="",S29="",P29="Closed"),"",IF(S29&lt;Methodology!$B$4,"Overdue","On schedule"))</f>
        <v/>
      </c>
      <c r="U29" s="44" t="str">
        <f>IF(OR(A29="",P29="Closed",O29=""),"",IF(AND(P29&lt;&gt;"Escalated to register",OR(O29=Methodology!$B$28,O29=Methodology!$B$29)),"Consider escalating to Risk Register",IF(AND(P29="Escalated to register",R29=""),"Add Risk ID of promoted risk","")))</f>
        <v/>
      </c>
    </row>
    <row r="30" spans="1:21" x14ac:dyDescent="0.35">
      <c r="A30" s="35"/>
      <c r="B30" s="24"/>
      <c r="C30" s="24"/>
      <c r="D30" s="24"/>
      <c r="E30" s="35"/>
      <c r="F30" s="35"/>
      <c r="G30" s="46"/>
      <c r="H30" s="36"/>
      <c r="I30" s="36"/>
      <c r="J30" s="36"/>
      <c r="K30" s="36"/>
      <c r="L30" s="37" t="str">
        <f t="shared" si="0"/>
        <v/>
      </c>
      <c r="M30" s="37" t="str">
        <f>IF(I30="","",IFERROR(INDEX(Methodology!$B$54:$B$57,MATCH(I30,Methodology!$A$54:$A$57,0)),""))</f>
        <v/>
      </c>
      <c r="N30" s="37" t="str">
        <f t="shared" si="1"/>
        <v/>
      </c>
      <c r="O30" s="37" t="str">
        <f>IF(N30="","",INDEX(Methodology!$B$26:$B$29,MATCH(N30,Methodology!$A$26:$A$29,1)))</f>
        <v/>
      </c>
      <c r="P30" s="35"/>
      <c r="Q30" s="24"/>
      <c r="R30" s="35"/>
      <c r="S30" s="46"/>
      <c r="T30" s="37" t="str">
        <f>IF(OR(A30="",S30="",P30="Closed"),"",IF(S30&lt;Methodology!$B$4,"Overdue","On schedule"))</f>
        <v/>
      </c>
      <c r="U30" s="44" t="str">
        <f>IF(OR(A30="",P30="Closed",O30=""),"",IF(AND(P30&lt;&gt;"Escalated to register",OR(O30=Methodology!$B$28,O30=Methodology!$B$29)),"Consider escalating to Risk Register",IF(AND(P30="Escalated to register",R30=""),"Add Risk ID of promoted risk","")))</f>
        <v/>
      </c>
    </row>
    <row r="31" spans="1:21" x14ac:dyDescent="0.35">
      <c r="A31" s="35"/>
      <c r="B31" s="24"/>
      <c r="C31" s="24"/>
      <c r="D31" s="24"/>
      <c r="E31" s="35"/>
      <c r="F31" s="35"/>
      <c r="G31" s="46"/>
      <c r="H31" s="36"/>
      <c r="I31" s="36"/>
      <c r="J31" s="36"/>
      <c r="K31" s="36"/>
      <c r="L31" s="37" t="str">
        <f t="shared" si="0"/>
        <v/>
      </c>
      <c r="M31" s="37" t="str">
        <f>IF(I31="","",IFERROR(INDEX(Methodology!$B$54:$B$57,MATCH(I31,Methodology!$A$54:$A$57,0)),""))</f>
        <v/>
      </c>
      <c r="N31" s="37" t="str">
        <f t="shared" si="1"/>
        <v/>
      </c>
      <c r="O31" s="37" t="str">
        <f>IF(N31="","",INDEX(Methodology!$B$26:$B$29,MATCH(N31,Methodology!$A$26:$A$29,1)))</f>
        <v/>
      </c>
      <c r="P31" s="35"/>
      <c r="Q31" s="24"/>
      <c r="R31" s="35"/>
      <c r="S31" s="46"/>
      <c r="T31" s="37" t="str">
        <f>IF(OR(A31="",S31="",P31="Closed"),"",IF(S31&lt;Methodology!$B$4,"Overdue","On schedule"))</f>
        <v/>
      </c>
      <c r="U31" s="44" t="str">
        <f>IF(OR(A31="",P31="Closed",O31=""),"",IF(AND(P31&lt;&gt;"Escalated to register",OR(O31=Methodology!$B$28,O31=Methodology!$B$29)),"Consider escalating to Risk Register",IF(AND(P31="Escalated to register",R31=""),"Add Risk ID of promoted risk","")))</f>
        <v/>
      </c>
    </row>
    <row r="32" spans="1:21" x14ac:dyDescent="0.35">
      <c r="A32" s="35"/>
      <c r="B32" s="24"/>
      <c r="C32" s="24"/>
      <c r="D32" s="24"/>
      <c r="E32" s="35"/>
      <c r="F32" s="35"/>
      <c r="G32" s="46"/>
      <c r="H32" s="36"/>
      <c r="I32" s="36"/>
      <c r="J32" s="36"/>
      <c r="K32" s="36"/>
      <c r="L32" s="37" t="str">
        <f t="shared" si="0"/>
        <v/>
      </c>
      <c r="M32" s="37" t="str">
        <f>IF(I32="","",IFERROR(INDEX(Methodology!$B$54:$B$57,MATCH(I32,Methodology!$A$54:$A$57,0)),""))</f>
        <v/>
      </c>
      <c r="N32" s="37" t="str">
        <f t="shared" si="1"/>
        <v/>
      </c>
      <c r="O32" s="37" t="str">
        <f>IF(N32="","",INDEX(Methodology!$B$26:$B$29,MATCH(N32,Methodology!$A$26:$A$29,1)))</f>
        <v/>
      </c>
      <c r="P32" s="35"/>
      <c r="Q32" s="24"/>
      <c r="R32" s="35"/>
      <c r="S32" s="46"/>
      <c r="T32" s="37" t="str">
        <f>IF(OR(A32="",S32="",P32="Closed"),"",IF(S32&lt;Methodology!$B$4,"Overdue","On schedule"))</f>
        <v/>
      </c>
      <c r="U32" s="44" t="str">
        <f>IF(OR(A32="",P32="Closed",O32=""),"",IF(AND(P32&lt;&gt;"Escalated to register",OR(O32=Methodology!$B$28,O32=Methodology!$B$29)),"Consider escalating to Risk Register",IF(AND(P32="Escalated to register",R32=""),"Add Risk ID of promoted risk","")))</f>
        <v/>
      </c>
    </row>
    <row r="33" spans="1:21" x14ac:dyDescent="0.35">
      <c r="A33" s="35"/>
      <c r="B33" s="24"/>
      <c r="C33" s="24"/>
      <c r="D33" s="24"/>
      <c r="E33" s="35"/>
      <c r="F33" s="35"/>
      <c r="G33" s="46"/>
      <c r="H33" s="36"/>
      <c r="I33" s="36"/>
      <c r="J33" s="36"/>
      <c r="K33" s="36"/>
      <c r="L33" s="37" t="str">
        <f t="shared" si="0"/>
        <v/>
      </c>
      <c r="M33" s="37" t="str">
        <f>IF(I33="","",IFERROR(INDEX(Methodology!$B$54:$B$57,MATCH(I33,Methodology!$A$54:$A$57,0)),""))</f>
        <v/>
      </c>
      <c r="N33" s="37" t="str">
        <f t="shared" si="1"/>
        <v/>
      </c>
      <c r="O33" s="37" t="str">
        <f>IF(N33="","",INDEX(Methodology!$B$26:$B$29,MATCH(N33,Methodology!$A$26:$A$29,1)))</f>
        <v/>
      </c>
      <c r="P33" s="35"/>
      <c r="Q33" s="24"/>
      <c r="R33" s="35"/>
      <c r="S33" s="46"/>
      <c r="T33" s="37" t="str">
        <f>IF(OR(A33="",S33="",P33="Closed"),"",IF(S33&lt;Methodology!$B$4,"Overdue","On schedule"))</f>
        <v/>
      </c>
      <c r="U33" s="44" t="str">
        <f>IF(OR(A33="",P33="Closed",O33=""),"",IF(AND(P33&lt;&gt;"Escalated to register",OR(O33=Methodology!$B$28,O33=Methodology!$B$29)),"Consider escalating to Risk Register",IF(AND(P33="Escalated to register",R33=""),"Add Risk ID of promoted risk","")))</f>
        <v/>
      </c>
    </row>
    <row r="34" spans="1:21" x14ac:dyDescent="0.35">
      <c r="A34" s="35"/>
      <c r="B34" s="24"/>
      <c r="C34" s="24"/>
      <c r="D34" s="24"/>
      <c r="E34" s="35"/>
      <c r="F34" s="35"/>
      <c r="G34" s="46"/>
      <c r="H34" s="36"/>
      <c r="I34" s="36"/>
      <c r="J34" s="36"/>
      <c r="K34" s="36"/>
      <c r="L34" s="37" t="str">
        <f t="shared" si="0"/>
        <v/>
      </c>
      <c r="M34" s="37" t="str">
        <f>IF(I34="","",IFERROR(INDEX(Methodology!$B$54:$B$57,MATCH(I34,Methodology!$A$54:$A$57,0)),""))</f>
        <v/>
      </c>
      <c r="N34" s="37" t="str">
        <f t="shared" si="1"/>
        <v/>
      </c>
      <c r="O34" s="37" t="str">
        <f>IF(N34="","",INDEX(Methodology!$B$26:$B$29,MATCH(N34,Methodology!$A$26:$A$29,1)))</f>
        <v/>
      </c>
      <c r="P34" s="35"/>
      <c r="Q34" s="24"/>
      <c r="R34" s="35"/>
      <c r="S34" s="46"/>
      <c r="T34" s="37" t="str">
        <f>IF(OR(A34="",S34="",P34="Closed"),"",IF(S34&lt;Methodology!$B$4,"Overdue","On schedule"))</f>
        <v/>
      </c>
      <c r="U34" s="44" t="str">
        <f>IF(OR(A34="",P34="Closed",O34=""),"",IF(AND(P34&lt;&gt;"Escalated to register",OR(O34=Methodology!$B$28,O34=Methodology!$B$29)),"Consider escalating to Risk Register",IF(AND(P34="Escalated to register",R34=""),"Add Risk ID of promoted risk","")))</f>
        <v/>
      </c>
    </row>
    <row r="35" spans="1:21" x14ac:dyDescent="0.35">
      <c r="A35" s="35"/>
      <c r="B35" s="24"/>
      <c r="C35" s="24"/>
      <c r="D35" s="24"/>
      <c r="E35" s="35"/>
      <c r="F35" s="35"/>
      <c r="G35" s="46"/>
      <c r="H35" s="36"/>
      <c r="I35" s="36"/>
      <c r="J35" s="36"/>
      <c r="K35" s="36"/>
      <c r="L35" s="37" t="str">
        <f t="shared" si="0"/>
        <v/>
      </c>
      <c r="M35" s="37" t="str">
        <f>IF(I35="","",IFERROR(INDEX(Methodology!$B$54:$B$57,MATCH(I35,Methodology!$A$54:$A$57,0)),""))</f>
        <v/>
      </c>
      <c r="N35" s="37" t="str">
        <f t="shared" si="1"/>
        <v/>
      </c>
      <c r="O35" s="37" t="str">
        <f>IF(N35="","",INDEX(Methodology!$B$26:$B$29,MATCH(N35,Methodology!$A$26:$A$29,1)))</f>
        <v/>
      </c>
      <c r="P35" s="35"/>
      <c r="Q35" s="24"/>
      <c r="R35" s="35"/>
      <c r="S35" s="46"/>
      <c r="T35" s="37" t="str">
        <f>IF(OR(A35="",S35="",P35="Closed"),"",IF(S35&lt;Methodology!$B$4,"Overdue","On schedule"))</f>
        <v/>
      </c>
      <c r="U35" s="44" t="str">
        <f>IF(OR(A35="",P35="Closed",O35=""),"",IF(AND(P35&lt;&gt;"Escalated to register",OR(O35=Methodology!$B$28,O35=Methodology!$B$29)),"Consider escalating to Risk Register",IF(AND(P35="Escalated to register",R35=""),"Add Risk ID of promoted risk","")))</f>
        <v/>
      </c>
    </row>
    <row r="36" spans="1:21" x14ac:dyDescent="0.35">
      <c r="A36" s="35"/>
      <c r="B36" s="24"/>
      <c r="C36" s="24"/>
      <c r="D36" s="24"/>
      <c r="E36" s="35"/>
      <c r="F36" s="35"/>
      <c r="G36" s="46"/>
      <c r="H36" s="36"/>
      <c r="I36" s="36"/>
      <c r="J36" s="36"/>
      <c r="K36" s="36"/>
      <c r="L36" s="37" t="str">
        <f t="shared" si="0"/>
        <v/>
      </c>
      <c r="M36" s="37" t="str">
        <f>IF(I36="","",IFERROR(INDEX(Methodology!$B$54:$B$57,MATCH(I36,Methodology!$A$54:$A$57,0)),""))</f>
        <v/>
      </c>
      <c r="N36" s="37" t="str">
        <f t="shared" si="1"/>
        <v/>
      </c>
      <c r="O36" s="37" t="str">
        <f>IF(N36="","",INDEX(Methodology!$B$26:$B$29,MATCH(N36,Methodology!$A$26:$A$29,1)))</f>
        <v/>
      </c>
      <c r="P36" s="35"/>
      <c r="Q36" s="24"/>
      <c r="R36" s="35"/>
      <c r="S36" s="46"/>
      <c r="T36" s="37" t="str">
        <f>IF(OR(A36="",S36="",P36="Closed"),"",IF(S36&lt;Methodology!$B$4,"Overdue","On schedule"))</f>
        <v/>
      </c>
      <c r="U36" s="44" t="str">
        <f>IF(OR(A36="",P36="Closed",O36=""),"",IF(AND(P36&lt;&gt;"Escalated to register",OR(O36=Methodology!$B$28,O36=Methodology!$B$29)),"Consider escalating to Risk Register",IF(AND(P36="Escalated to register",R36=""),"Add Risk ID of promoted risk","")))</f>
        <v/>
      </c>
    </row>
    <row r="37" spans="1:21" x14ac:dyDescent="0.35">
      <c r="A37" s="35"/>
      <c r="B37" s="24"/>
      <c r="C37" s="24"/>
      <c r="D37" s="24"/>
      <c r="E37" s="35"/>
      <c r="F37" s="35"/>
      <c r="G37" s="46"/>
      <c r="H37" s="36"/>
      <c r="I37" s="36"/>
      <c r="J37" s="36"/>
      <c r="K37" s="36"/>
      <c r="L37" s="37" t="str">
        <f t="shared" si="0"/>
        <v/>
      </c>
      <c r="M37" s="37" t="str">
        <f>IF(I37="","",IFERROR(INDEX(Methodology!$B$54:$B$57,MATCH(I37,Methodology!$A$54:$A$57,0)),""))</f>
        <v/>
      </c>
      <c r="N37" s="37" t="str">
        <f t="shared" si="1"/>
        <v/>
      </c>
      <c r="O37" s="37" t="str">
        <f>IF(N37="","",INDEX(Methodology!$B$26:$B$29,MATCH(N37,Methodology!$A$26:$A$29,1)))</f>
        <v/>
      </c>
      <c r="P37" s="35"/>
      <c r="Q37" s="24"/>
      <c r="R37" s="35"/>
      <c r="S37" s="46"/>
      <c r="T37" s="37" t="str">
        <f>IF(OR(A37="",S37="",P37="Closed"),"",IF(S37&lt;Methodology!$B$4,"Overdue","On schedule"))</f>
        <v/>
      </c>
      <c r="U37" s="44" t="str">
        <f>IF(OR(A37="",P37="Closed",O37=""),"",IF(AND(P37&lt;&gt;"Escalated to register",OR(O37=Methodology!$B$28,O37=Methodology!$B$29)),"Consider escalating to Risk Register",IF(AND(P37="Escalated to register",R37=""),"Add Risk ID of promoted risk","")))</f>
        <v/>
      </c>
    </row>
    <row r="38" spans="1:21" x14ac:dyDescent="0.35">
      <c r="A38" s="35"/>
      <c r="B38" s="24"/>
      <c r="C38" s="24"/>
      <c r="D38" s="24"/>
      <c r="E38" s="35"/>
      <c r="F38" s="35"/>
      <c r="G38" s="46"/>
      <c r="H38" s="36"/>
      <c r="I38" s="36"/>
      <c r="J38" s="36"/>
      <c r="K38" s="36"/>
      <c r="L38" s="37" t="str">
        <f t="shared" ref="L38:L65" si="2">IF(OR(J38="",K38=""),"",J38*K38)</f>
        <v/>
      </c>
      <c r="M38" s="37" t="str">
        <f>IF(I38="","",IFERROR(INDEX(Methodology!$B$54:$B$57,MATCH(I38,Methodology!$A$54:$A$57,0)),""))</f>
        <v/>
      </c>
      <c r="N38" s="37" t="str">
        <f t="shared" ref="N38:N65" si="3">IF(OR(L38="",M38=""),"",MIN(25,ROUND(L38*M38,0)))</f>
        <v/>
      </c>
      <c r="O38" s="37" t="str">
        <f>IF(N38="","",INDEX(Methodology!$B$26:$B$29,MATCH(N38,Methodology!$A$26:$A$29,1)))</f>
        <v/>
      </c>
      <c r="P38" s="35"/>
      <c r="Q38" s="24"/>
      <c r="R38" s="35"/>
      <c r="S38" s="46"/>
      <c r="T38" s="37" t="str">
        <f>IF(OR(A38="",S38="",P38="Closed"),"",IF(S38&lt;Methodology!$B$4,"Overdue","On schedule"))</f>
        <v/>
      </c>
      <c r="U38" s="44" t="str">
        <f>IF(OR(A38="",P38="Closed",O38=""),"",IF(AND(P38&lt;&gt;"Escalated to register",OR(O38=Methodology!$B$28,O38=Methodology!$B$29)),"Consider escalating to Risk Register",IF(AND(P38="Escalated to register",R38=""),"Add Risk ID of promoted risk","")))</f>
        <v/>
      </c>
    </row>
    <row r="39" spans="1:21" x14ac:dyDescent="0.35">
      <c r="A39" s="35"/>
      <c r="B39" s="24"/>
      <c r="C39" s="24"/>
      <c r="D39" s="24"/>
      <c r="E39" s="35"/>
      <c r="F39" s="35"/>
      <c r="G39" s="46"/>
      <c r="H39" s="36"/>
      <c r="I39" s="36"/>
      <c r="J39" s="36"/>
      <c r="K39" s="36"/>
      <c r="L39" s="37" t="str">
        <f t="shared" si="2"/>
        <v/>
      </c>
      <c r="M39" s="37" t="str">
        <f>IF(I39="","",IFERROR(INDEX(Methodology!$B$54:$B$57,MATCH(I39,Methodology!$A$54:$A$57,0)),""))</f>
        <v/>
      </c>
      <c r="N39" s="37" t="str">
        <f t="shared" si="3"/>
        <v/>
      </c>
      <c r="O39" s="37" t="str">
        <f>IF(N39="","",INDEX(Methodology!$B$26:$B$29,MATCH(N39,Methodology!$A$26:$A$29,1)))</f>
        <v/>
      </c>
      <c r="P39" s="35"/>
      <c r="Q39" s="24"/>
      <c r="R39" s="35"/>
      <c r="S39" s="46"/>
      <c r="T39" s="37" t="str">
        <f>IF(OR(A39="",S39="",P39="Closed"),"",IF(S39&lt;Methodology!$B$4,"Overdue","On schedule"))</f>
        <v/>
      </c>
      <c r="U39" s="44" t="str">
        <f>IF(OR(A39="",P39="Closed",O39=""),"",IF(AND(P39&lt;&gt;"Escalated to register",OR(O39=Methodology!$B$28,O39=Methodology!$B$29)),"Consider escalating to Risk Register",IF(AND(P39="Escalated to register",R39=""),"Add Risk ID of promoted risk","")))</f>
        <v/>
      </c>
    </row>
    <row r="40" spans="1:21" x14ac:dyDescent="0.35">
      <c r="A40" s="35"/>
      <c r="B40" s="24"/>
      <c r="C40" s="24"/>
      <c r="D40" s="24"/>
      <c r="E40" s="35"/>
      <c r="F40" s="35"/>
      <c r="G40" s="46"/>
      <c r="H40" s="36"/>
      <c r="I40" s="36"/>
      <c r="J40" s="36"/>
      <c r="K40" s="36"/>
      <c r="L40" s="37" t="str">
        <f t="shared" si="2"/>
        <v/>
      </c>
      <c r="M40" s="37" t="str">
        <f>IF(I40="","",IFERROR(INDEX(Methodology!$B$54:$B$57,MATCH(I40,Methodology!$A$54:$A$57,0)),""))</f>
        <v/>
      </c>
      <c r="N40" s="37" t="str">
        <f t="shared" si="3"/>
        <v/>
      </c>
      <c r="O40" s="37" t="str">
        <f>IF(N40="","",INDEX(Methodology!$B$26:$B$29,MATCH(N40,Methodology!$A$26:$A$29,1)))</f>
        <v/>
      </c>
      <c r="P40" s="35"/>
      <c r="Q40" s="24"/>
      <c r="R40" s="35"/>
      <c r="S40" s="46"/>
      <c r="T40" s="37" t="str">
        <f>IF(OR(A40="",S40="",P40="Closed"),"",IF(S40&lt;Methodology!$B$4,"Overdue","On schedule"))</f>
        <v/>
      </c>
      <c r="U40" s="44" t="str">
        <f>IF(OR(A40="",P40="Closed",O40=""),"",IF(AND(P40&lt;&gt;"Escalated to register",OR(O40=Methodology!$B$28,O40=Methodology!$B$29)),"Consider escalating to Risk Register",IF(AND(P40="Escalated to register",R40=""),"Add Risk ID of promoted risk","")))</f>
        <v/>
      </c>
    </row>
    <row r="41" spans="1:21" x14ac:dyDescent="0.35">
      <c r="A41" s="35"/>
      <c r="B41" s="24"/>
      <c r="C41" s="24"/>
      <c r="D41" s="24"/>
      <c r="E41" s="35"/>
      <c r="F41" s="35"/>
      <c r="G41" s="46"/>
      <c r="H41" s="36"/>
      <c r="I41" s="36"/>
      <c r="J41" s="36"/>
      <c r="K41" s="36"/>
      <c r="L41" s="37" t="str">
        <f t="shared" si="2"/>
        <v/>
      </c>
      <c r="M41" s="37" t="str">
        <f>IF(I41="","",IFERROR(INDEX(Methodology!$B$54:$B$57,MATCH(I41,Methodology!$A$54:$A$57,0)),""))</f>
        <v/>
      </c>
      <c r="N41" s="37" t="str">
        <f t="shared" si="3"/>
        <v/>
      </c>
      <c r="O41" s="37" t="str">
        <f>IF(N41="","",INDEX(Methodology!$B$26:$B$29,MATCH(N41,Methodology!$A$26:$A$29,1)))</f>
        <v/>
      </c>
      <c r="P41" s="35"/>
      <c r="Q41" s="24"/>
      <c r="R41" s="35"/>
      <c r="S41" s="46"/>
      <c r="T41" s="37" t="str">
        <f>IF(OR(A41="",S41="",P41="Closed"),"",IF(S41&lt;Methodology!$B$4,"Overdue","On schedule"))</f>
        <v/>
      </c>
      <c r="U41" s="44" t="str">
        <f>IF(OR(A41="",P41="Closed",O41=""),"",IF(AND(P41&lt;&gt;"Escalated to register",OR(O41=Methodology!$B$28,O41=Methodology!$B$29)),"Consider escalating to Risk Register",IF(AND(P41="Escalated to register",R41=""),"Add Risk ID of promoted risk","")))</f>
        <v/>
      </c>
    </row>
    <row r="42" spans="1:21" x14ac:dyDescent="0.35">
      <c r="A42" s="35"/>
      <c r="B42" s="24"/>
      <c r="C42" s="24"/>
      <c r="D42" s="24"/>
      <c r="E42" s="35"/>
      <c r="F42" s="35"/>
      <c r="G42" s="46"/>
      <c r="H42" s="36"/>
      <c r="I42" s="36"/>
      <c r="J42" s="36"/>
      <c r="K42" s="36"/>
      <c r="L42" s="37" t="str">
        <f t="shared" si="2"/>
        <v/>
      </c>
      <c r="M42" s="37" t="str">
        <f>IF(I42="","",IFERROR(INDEX(Methodology!$B$54:$B$57,MATCH(I42,Methodology!$A$54:$A$57,0)),""))</f>
        <v/>
      </c>
      <c r="N42" s="37" t="str">
        <f t="shared" si="3"/>
        <v/>
      </c>
      <c r="O42" s="37" t="str">
        <f>IF(N42="","",INDEX(Methodology!$B$26:$B$29,MATCH(N42,Methodology!$A$26:$A$29,1)))</f>
        <v/>
      </c>
      <c r="P42" s="35"/>
      <c r="Q42" s="24"/>
      <c r="R42" s="35"/>
      <c r="S42" s="46"/>
      <c r="T42" s="37" t="str">
        <f>IF(OR(A42="",S42="",P42="Closed"),"",IF(S42&lt;Methodology!$B$4,"Overdue","On schedule"))</f>
        <v/>
      </c>
      <c r="U42" s="44" t="str">
        <f>IF(OR(A42="",P42="Closed",O42=""),"",IF(AND(P42&lt;&gt;"Escalated to register",OR(O42=Methodology!$B$28,O42=Methodology!$B$29)),"Consider escalating to Risk Register",IF(AND(P42="Escalated to register",R42=""),"Add Risk ID of promoted risk","")))</f>
        <v/>
      </c>
    </row>
    <row r="43" spans="1:21" x14ac:dyDescent="0.35">
      <c r="A43" s="35"/>
      <c r="B43" s="24"/>
      <c r="C43" s="24"/>
      <c r="D43" s="24"/>
      <c r="E43" s="35"/>
      <c r="F43" s="35"/>
      <c r="G43" s="46"/>
      <c r="H43" s="36"/>
      <c r="I43" s="36"/>
      <c r="J43" s="36"/>
      <c r="K43" s="36"/>
      <c r="L43" s="37" t="str">
        <f t="shared" si="2"/>
        <v/>
      </c>
      <c r="M43" s="37" t="str">
        <f>IF(I43="","",IFERROR(INDEX(Methodology!$B$54:$B$57,MATCH(I43,Methodology!$A$54:$A$57,0)),""))</f>
        <v/>
      </c>
      <c r="N43" s="37" t="str">
        <f t="shared" si="3"/>
        <v/>
      </c>
      <c r="O43" s="37" t="str">
        <f>IF(N43="","",INDEX(Methodology!$B$26:$B$29,MATCH(N43,Methodology!$A$26:$A$29,1)))</f>
        <v/>
      </c>
      <c r="P43" s="35"/>
      <c r="Q43" s="24"/>
      <c r="R43" s="35"/>
      <c r="S43" s="46"/>
      <c r="T43" s="37" t="str">
        <f>IF(OR(A43="",S43="",P43="Closed"),"",IF(S43&lt;Methodology!$B$4,"Overdue","On schedule"))</f>
        <v/>
      </c>
      <c r="U43" s="44" t="str">
        <f>IF(OR(A43="",P43="Closed",O43=""),"",IF(AND(P43&lt;&gt;"Escalated to register",OR(O43=Methodology!$B$28,O43=Methodology!$B$29)),"Consider escalating to Risk Register",IF(AND(P43="Escalated to register",R43=""),"Add Risk ID of promoted risk","")))</f>
        <v/>
      </c>
    </row>
    <row r="44" spans="1:21" x14ac:dyDescent="0.35">
      <c r="A44" s="35"/>
      <c r="B44" s="24"/>
      <c r="C44" s="24"/>
      <c r="D44" s="24"/>
      <c r="E44" s="35"/>
      <c r="F44" s="35"/>
      <c r="G44" s="46"/>
      <c r="H44" s="36"/>
      <c r="I44" s="36"/>
      <c r="J44" s="36"/>
      <c r="K44" s="36"/>
      <c r="L44" s="37" t="str">
        <f t="shared" si="2"/>
        <v/>
      </c>
      <c r="M44" s="37" t="str">
        <f>IF(I44="","",IFERROR(INDEX(Methodology!$B$54:$B$57,MATCH(I44,Methodology!$A$54:$A$57,0)),""))</f>
        <v/>
      </c>
      <c r="N44" s="37" t="str">
        <f t="shared" si="3"/>
        <v/>
      </c>
      <c r="O44" s="37" t="str">
        <f>IF(N44="","",INDEX(Methodology!$B$26:$B$29,MATCH(N44,Methodology!$A$26:$A$29,1)))</f>
        <v/>
      </c>
      <c r="P44" s="35"/>
      <c r="Q44" s="24"/>
      <c r="R44" s="35"/>
      <c r="S44" s="46"/>
      <c r="T44" s="37" t="str">
        <f>IF(OR(A44="",S44="",P44="Closed"),"",IF(S44&lt;Methodology!$B$4,"Overdue","On schedule"))</f>
        <v/>
      </c>
      <c r="U44" s="44" t="str">
        <f>IF(OR(A44="",P44="Closed",O44=""),"",IF(AND(P44&lt;&gt;"Escalated to register",OR(O44=Methodology!$B$28,O44=Methodology!$B$29)),"Consider escalating to Risk Register",IF(AND(P44="Escalated to register",R44=""),"Add Risk ID of promoted risk","")))</f>
        <v/>
      </c>
    </row>
    <row r="45" spans="1:21" x14ac:dyDescent="0.35">
      <c r="A45" s="35"/>
      <c r="B45" s="24"/>
      <c r="C45" s="24"/>
      <c r="D45" s="24"/>
      <c r="E45" s="35"/>
      <c r="F45" s="35"/>
      <c r="G45" s="46"/>
      <c r="H45" s="36"/>
      <c r="I45" s="36"/>
      <c r="J45" s="36"/>
      <c r="K45" s="36"/>
      <c r="L45" s="37" t="str">
        <f t="shared" si="2"/>
        <v/>
      </c>
      <c r="M45" s="37" t="str">
        <f>IF(I45="","",IFERROR(INDEX(Methodology!$B$54:$B$57,MATCH(I45,Methodology!$A$54:$A$57,0)),""))</f>
        <v/>
      </c>
      <c r="N45" s="37" t="str">
        <f t="shared" si="3"/>
        <v/>
      </c>
      <c r="O45" s="37" t="str">
        <f>IF(N45="","",INDEX(Methodology!$B$26:$B$29,MATCH(N45,Methodology!$A$26:$A$29,1)))</f>
        <v/>
      </c>
      <c r="P45" s="35"/>
      <c r="Q45" s="24"/>
      <c r="R45" s="35"/>
      <c r="S45" s="46"/>
      <c r="T45" s="37" t="str">
        <f>IF(OR(A45="",S45="",P45="Closed"),"",IF(S45&lt;Methodology!$B$4,"Overdue","On schedule"))</f>
        <v/>
      </c>
      <c r="U45" s="44" t="str">
        <f>IF(OR(A45="",P45="Closed",O45=""),"",IF(AND(P45&lt;&gt;"Escalated to register",OR(O45=Methodology!$B$28,O45=Methodology!$B$29)),"Consider escalating to Risk Register",IF(AND(P45="Escalated to register",R45=""),"Add Risk ID of promoted risk","")))</f>
        <v/>
      </c>
    </row>
    <row r="46" spans="1:21" x14ac:dyDescent="0.35">
      <c r="A46" s="35"/>
      <c r="B46" s="24"/>
      <c r="C46" s="24"/>
      <c r="D46" s="24"/>
      <c r="E46" s="35"/>
      <c r="F46" s="35"/>
      <c r="G46" s="46"/>
      <c r="H46" s="36"/>
      <c r="I46" s="36"/>
      <c r="J46" s="36"/>
      <c r="K46" s="36"/>
      <c r="L46" s="37" t="str">
        <f t="shared" si="2"/>
        <v/>
      </c>
      <c r="M46" s="37" t="str">
        <f>IF(I46="","",IFERROR(INDEX(Methodology!$B$54:$B$57,MATCH(I46,Methodology!$A$54:$A$57,0)),""))</f>
        <v/>
      </c>
      <c r="N46" s="37" t="str">
        <f t="shared" si="3"/>
        <v/>
      </c>
      <c r="O46" s="37" t="str">
        <f>IF(N46="","",INDEX(Methodology!$B$26:$B$29,MATCH(N46,Methodology!$A$26:$A$29,1)))</f>
        <v/>
      </c>
      <c r="P46" s="35"/>
      <c r="Q46" s="24"/>
      <c r="R46" s="35"/>
      <c r="S46" s="46"/>
      <c r="T46" s="37" t="str">
        <f>IF(OR(A46="",S46="",P46="Closed"),"",IF(S46&lt;Methodology!$B$4,"Overdue","On schedule"))</f>
        <v/>
      </c>
      <c r="U46" s="44" t="str">
        <f>IF(OR(A46="",P46="Closed",O46=""),"",IF(AND(P46&lt;&gt;"Escalated to register",OR(O46=Methodology!$B$28,O46=Methodology!$B$29)),"Consider escalating to Risk Register",IF(AND(P46="Escalated to register",R46=""),"Add Risk ID of promoted risk","")))</f>
        <v/>
      </c>
    </row>
    <row r="47" spans="1:21" x14ac:dyDescent="0.35">
      <c r="A47" s="35"/>
      <c r="B47" s="24"/>
      <c r="C47" s="24"/>
      <c r="D47" s="24"/>
      <c r="E47" s="35"/>
      <c r="F47" s="35"/>
      <c r="G47" s="46"/>
      <c r="H47" s="36"/>
      <c r="I47" s="36"/>
      <c r="J47" s="36"/>
      <c r="K47" s="36"/>
      <c r="L47" s="37" t="str">
        <f t="shared" si="2"/>
        <v/>
      </c>
      <c r="M47" s="37" t="str">
        <f>IF(I47="","",IFERROR(INDEX(Methodology!$B$54:$B$57,MATCH(I47,Methodology!$A$54:$A$57,0)),""))</f>
        <v/>
      </c>
      <c r="N47" s="37" t="str">
        <f t="shared" si="3"/>
        <v/>
      </c>
      <c r="O47" s="37" t="str">
        <f>IF(N47="","",INDEX(Methodology!$B$26:$B$29,MATCH(N47,Methodology!$A$26:$A$29,1)))</f>
        <v/>
      </c>
      <c r="P47" s="35"/>
      <c r="Q47" s="24"/>
      <c r="R47" s="35"/>
      <c r="S47" s="46"/>
      <c r="T47" s="37" t="str">
        <f>IF(OR(A47="",S47="",P47="Closed"),"",IF(S47&lt;Methodology!$B$4,"Overdue","On schedule"))</f>
        <v/>
      </c>
      <c r="U47" s="44" t="str">
        <f>IF(OR(A47="",P47="Closed",O47=""),"",IF(AND(P47&lt;&gt;"Escalated to register",OR(O47=Methodology!$B$28,O47=Methodology!$B$29)),"Consider escalating to Risk Register",IF(AND(P47="Escalated to register",R47=""),"Add Risk ID of promoted risk","")))</f>
        <v/>
      </c>
    </row>
    <row r="48" spans="1:21" x14ac:dyDescent="0.35">
      <c r="A48" s="35"/>
      <c r="B48" s="24"/>
      <c r="C48" s="24"/>
      <c r="D48" s="24"/>
      <c r="E48" s="35"/>
      <c r="F48" s="35"/>
      <c r="G48" s="46"/>
      <c r="H48" s="36"/>
      <c r="I48" s="36"/>
      <c r="J48" s="36"/>
      <c r="K48" s="36"/>
      <c r="L48" s="37" t="str">
        <f t="shared" si="2"/>
        <v/>
      </c>
      <c r="M48" s="37" t="str">
        <f>IF(I48="","",IFERROR(INDEX(Methodology!$B$54:$B$57,MATCH(I48,Methodology!$A$54:$A$57,0)),""))</f>
        <v/>
      </c>
      <c r="N48" s="37" t="str">
        <f t="shared" si="3"/>
        <v/>
      </c>
      <c r="O48" s="37" t="str">
        <f>IF(N48="","",INDEX(Methodology!$B$26:$B$29,MATCH(N48,Methodology!$A$26:$A$29,1)))</f>
        <v/>
      </c>
      <c r="P48" s="35"/>
      <c r="Q48" s="24"/>
      <c r="R48" s="35"/>
      <c r="S48" s="46"/>
      <c r="T48" s="37" t="str">
        <f>IF(OR(A48="",S48="",P48="Closed"),"",IF(S48&lt;Methodology!$B$4,"Overdue","On schedule"))</f>
        <v/>
      </c>
      <c r="U48" s="44" t="str">
        <f>IF(OR(A48="",P48="Closed",O48=""),"",IF(AND(P48&lt;&gt;"Escalated to register",OR(O48=Methodology!$B$28,O48=Methodology!$B$29)),"Consider escalating to Risk Register",IF(AND(P48="Escalated to register",R48=""),"Add Risk ID of promoted risk","")))</f>
        <v/>
      </c>
    </row>
    <row r="49" spans="1:21" x14ac:dyDescent="0.35">
      <c r="A49" s="35"/>
      <c r="B49" s="24"/>
      <c r="C49" s="24"/>
      <c r="D49" s="24"/>
      <c r="E49" s="35"/>
      <c r="F49" s="35"/>
      <c r="G49" s="46"/>
      <c r="H49" s="36"/>
      <c r="I49" s="36"/>
      <c r="J49" s="36"/>
      <c r="K49" s="36"/>
      <c r="L49" s="37" t="str">
        <f t="shared" si="2"/>
        <v/>
      </c>
      <c r="M49" s="37" t="str">
        <f>IF(I49="","",IFERROR(INDEX(Methodology!$B$54:$B$57,MATCH(I49,Methodology!$A$54:$A$57,0)),""))</f>
        <v/>
      </c>
      <c r="N49" s="37" t="str">
        <f t="shared" si="3"/>
        <v/>
      </c>
      <c r="O49" s="37" t="str">
        <f>IF(N49="","",INDEX(Methodology!$B$26:$B$29,MATCH(N49,Methodology!$A$26:$A$29,1)))</f>
        <v/>
      </c>
      <c r="P49" s="35"/>
      <c r="Q49" s="24"/>
      <c r="R49" s="35"/>
      <c r="S49" s="46"/>
      <c r="T49" s="37" t="str">
        <f>IF(OR(A49="",S49="",P49="Closed"),"",IF(S49&lt;Methodology!$B$4,"Overdue","On schedule"))</f>
        <v/>
      </c>
      <c r="U49" s="44" t="str">
        <f>IF(OR(A49="",P49="Closed",O49=""),"",IF(AND(P49&lt;&gt;"Escalated to register",OR(O49=Methodology!$B$28,O49=Methodology!$B$29)),"Consider escalating to Risk Register",IF(AND(P49="Escalated to register",R49=""),"Add Risk ID of promoted risk","")))</f>
        <v/>
      </c>
    </row>
    <row r="50" spans="1:21" x14ac:dyDescent="0.35">
      <c r="A50" s="35"/>
      <c r="B50" s="24"/>
      <c r="C50" s="24"/>
      <c r="D50" s="24"/>
      <c r="E50" s="35"/>
      <c r="F50" s="35"/>
      <c r="G50" s="46"/>
      <c r="H50" s="36"/>
      <c r="I50" s="36"/>
      <c r="J50" s="36"/>
      <c r="K50" s="36"/>
      <c r="L50" s="37" t="str">
        <f t="shared" si="2"/>
        <v/>
      </c>
      <c r="M50" s="37" t="str">
        <f>IF(I50="","",IFERROR(INDEX(Methodology!$B$54:$B$57,MATCH(I50,Methodology!$A$54:$A$57,0)),""))</f>
        <v/>
      </c>
      <c r="N50" s="37" t="str">
        <f t="shared" si="3"/>
        <v/>
      </c>
      <c r="O50" s="37" t="str">
        <f>IF(N50="","",INDEX(Methodology!$B$26:$B$29,MATCH(N50,Methodology!$A$26:$A$29,1)))</f>
        <v/>
      </c>
      <c r="P50" s="35"/>
      <c r="Q50" s="24"/>
      <c r="R50" s="35"/>
      <c r="S50" s="46"/>
      <c r="T50" s="37" t="str">
        <f>IF(OR(A50="",S50="",P50="Closed"),"",IF(S50&lt;Methodology!$B$4,"Overdue","On schedule"))</f>
        <v/>
      </c>
      <c r="U50" s="44" t="str">
        <f>IF(OR(A50="",P50="Closed",O50=""),"",IF(AND(P50&lt;&gt;"Escalated to register",OR(O50=Methodology!$B$28,O50=Methodology!$B$29)),"Consider escalating to Risk Register",IF(AND(P50="Escalated to register",R50=""),"Add Risk ID of promoted risk","")))</f>
        <v/>
      </c>
    </row>
    <row r="51" spans="1:21" x14ac:dyDescent="0.35">
      <c r="A51" s="35"/>
      <c r="B51" s="24"/>
      <c r="C51" s="24"/>
      <c r="D51" s="24"/>
      <c r="E51" s="35"/>
      <c r="F51" s="35"/>
      <c r="G51" s="46"/>
      <c r="H51" s="36"/>
      <c r="I51" s="36"/>
      <c r="J51" s="36"/>
      <c r="K51" s="36"/>
      <c r="L51" s="37" t="str">
        <f t="shared" si="2"/>
        <v/>
      </c>
      <c r="M51" s="37" t="str">
        <f>IF(I51="","",IFERROR(INDEX(Methodology!$B$54:$B$57,MATCH(I51,Methodology!$A$54:$A$57,0)),""))</f>
        <v/>
      </c>
      <c r="N51" s="37" t="str">
        <f t="shared" si="3"/>
        <v/>
      </c>
      <c r="O51" s="37" t="str">
        <f>IF(N51="","",INDEX(Methodology!$B$26:$B$29,MATCH(N51,Methodology!$A$26:$A$29,1)))</f>
        <v/>
      </c>
      <c r="P51" s="35"/>
      <c r="Q51" s="24"/>
      <c r="R51" s="35"/>
      <c r="S51" s="46"/>
      <c r="T51" s="37" t="str">
        <f>IF(OR(A51="",S51="",P51="Closed"),"",IF(S51&lt;Methodology!$B$4,"Overdue","On schedule"))</f>
        <v/>
      </c>
      <c r="U51" s="44" t="str">
        <f>IF(OR(A51="",P51="Closed",O51=""),"",IF(AND(P51&lt;&gt;"Escalated to register",OR(O51=Methodology!$B$28,O51=Methodology!$B$29)),"Consider escalating to Risk Register",IF(AND(P51="Escalated to register",R51=""),"Add Risk ID of promoted risk","")))</f>
        <v/>
      </c>
    </row>
    <row r="52" spans="1:21" x14ac:dyDescent="0.35">
      <c r="A52" s="35"/>
      <c r="B52" s="24"/>
      <c r="C52" s="24"/>
      <c r="D52" s="24"/>
      <c r="E52" s="35"/>
      <c r="F52" s="35"/>
      <c r="G52" s="46"/>
      <c r="H52" s="36"/>
      <c r="I52" s="36"/>
      <c r="J52" s="36"/>
      <c r="K52" s="36"/>
      <c r="L52" s="37" t="str">
        <f t="shared" si="2"/>
        <v/>
      </c>
      <c r="M52" s="37" t="str">
        <f>IF(I52="","",IFERROR(INDEX(Methodology!$B$54:$B$57,MATCH(I52,Methodology!$A$54:$A$57,0)),""))</f>
        <v/>
      </c>
      <c r="N52" s="37" t="str">
        <f t="shared" si="3"/>
        <v/>
      </c>
      <c r="O52" s="37" t="str">
        <f>IF(N52="","",INDEX(Methodology!$B$26:$B$29,MATCH(N52,Methodology!$A$26:$A$29,1)))</f>
        <v/>
      </c>
      <c r="P52" s="35"/>
      <c r="Q52" s="24"/>
      <c r="R52" s="35"/>
      <c r="S52" s="46"/>
      <c r="T52" s="37" t="str">
        <f>IF(OR(A52="",S52="",P52="Closed"),"",IF(S52&lt;Methodology!$B$4,"Overdue","On schedule"))</f>
        <v/>
      </c>
      <c r="U52" s="44" t="str">
        <f>IF(OR(A52="",P52="Closed",O52=""),"",IF(AND(P52&lt;&gt;"Escalated to register",OR(O52=Methodology!$B$28,O52=Methodology!$B$29)),"Consider escalating to Risk Register",IF(AND(P52="Escalated to register",R52=""),"Add Risk ID of promoted risk","")))</f>
        <v/>
      </c>
    </row>
    <row r="53" spans="1:21" x14ac:dyDescent="0.35">
      <c r="A53" s="35"/>
      <c r="B53" s="24"/>
      <c r="C53" s="24"/>
      <c r="D53" s="24"/>
      <c r="E53" s="35"/>
      <c r="F53" s="35"/>
      <c r="G53" s="46"/>
      <c r="H53" s="36"/>
      <c r="I53" s="36"/>
      <c r="J53" s="36"/>
      <c r="K53" s="36"/>
      <c r="L53" s="37" t="str">
        <f t="shared" si="2"/>
        <v/>
      </c>
      <c r="M53" s="37" t="str">
        <f>IF(I53="","",IFERROR(INDEX(Methodology!$B$54:$B$57,MATCH(I53,Methodology!$A$54:$A$57,0)),""))</f>
        <v/>
      </c>
      <c r="N53" s="37" t="str">
        <f t="shared" si="3"/>
        <v/>
      </c>
      <c r="O53" s="37" t="str">
        <f>IF(N53="","",INDEX(Methodology!$B$26:$B$29,MATCH(N53,Methodology!$A$26:$A$29,1)))</f>
        <v/>
      </c>
      <c r="P53" s="35"/>
      <c r="Q53" s="24"/>
      <c r="R53" s="35"/>
      <c r="S53" s="46"/>
      <c r="T53" s="37" t="str">
        <f>IF(OR(A53="",S53="",P53="Closed"),"",IF(S53&lt;Methodology!$B$4,"Overdue","On schedule"))</f>
        <v/>
      </c>
      <c r="U53" s="44" t="str">
        <f>IF(OR(A53="",P53="Closed",O53=""),"",IF(AND(P53&lt;&gt;"Escalated to register",OR(O53=Methodology!$B$28,O53=Methodology!$B$29)),"Consider escalating to Risk Register",IF(AND(P53="Escalated to register",R53=""),"Add Risk ID of promoted risk","")))</f>
        <v/>
      </c>
    </row>
    <row r="54" spans="1:21" x14ac:dyDescent="0.35">
      <c r="A54" s="35"/>
      <c r="B54" s="24"/>
      <c r="C54" s="24"/>
      <c r="D54" s="24"/>
      <c r="E54" s="35"/>
      <c r="F54" s="35"/>
      <c r="G54" s="46"/>
      <c r="H54" s="36"/>
      <c r="I54" s="36"/>
      <c r="J54" s="36"/>
      <c r="K54" s="36"/>
      <c r="L54" s="37" t="str">
        <f t="shared" si="2"/>
        <v/>
      </c>
      <c r="M54" s="37" t="str">
        <f>IF(I54="","",IFERROR(INDEX(Methodology!$B$54:$B$57,MATCH(I54,Methodology!$A$54:$A$57,0)),""))</f>
        <v/>
      </c>
      <c r="N54" s="37" t="str">
        <f t="shared" si="3"/>
        <v/>
      </c>
      <c r="O54" s="37" t="str">
        <f>IF(N54="","",INDEX(Methodology!$B$26:$B$29,MATCH(N54,Methodology!$A$26:$A$29,1)))</f>
        <v/>
      </c>
      <c r="P54" s="35"/>
      <c r="Q54" s="24"/>
      <c r="R54" s="35"/>
      <c r="S54" s="46"/>
      <c r="T54" s="37" t="str">
        <f>IF(OR(A54="",S54="",P54="Closed"),"",IF(S54&lt;Methodology!$B$4,"Overdue","On schedule"))</f>
        <v/>
      </c>
      <c r="U54" s="44" t="str">
        <f>IF(OR(A54="",P54="Closed",O54=""),"",IF(AND(P54&lt;&gt;"Escalated to register",OR(O54=Methodology!$B$28,O54=Methodology!$B$29)),"Consider escalating to Risk Register",IF(AND(P54="Escalated to register",R54=""),"Add Risk ID of promoted risk","")))</f>
        <v/>
      </c>
    </row>
    <row r="55" spans="1:21" x14ac:dyDescent="0.35">
      <c r="A55" s="35"/>
      <c r="B55" s="24"/>
      <c r="C55" s="24"/>
      <c r="D55" s="24"/>
      <c r="E55" s="35"/>
      <c r="F55" s="35"/>
      <c r="G55" s="46"/>
      <c r="H55" s="36"/>
      <c r="I55" s="36"/>
      <c r="J55" s="36"/>
      <c r="K55" s="36"/>
      <c r="L55" s="37" t="str">
        <f t="shared" si="2"/>
        <v/>
      </c>
      <c r="M55" s="37" t="str">
        <f>IF(I55="","",IFERROR(INDEX(Methodology!$B$54:$B$57,MATCH(I55,Methodology!$A$54:$A$57,0)),""))</f>
        <v/>
      </c>
      <c r="N55" s="37" t="str">
        <f t="shared" si="3"/>
        <v/>
      </c>
      <c r="O55" s="37" t="str">
        <f>IF(N55="","",INDEX(Methodology!$B$26:$B$29,MATCH(N55,Methodology!$A$26:$A$29,1)))</f>
        <v/>
      </c>
      <c r="P55" s="35"/>
      <c r="Q55" s="24"/>
      <c r="R55" s="35"/>
      <c r="S55" s="46"/>
      <c r="T55" s="37" t="str">
        <f>IF(OR(A55="",S55="",P55="Closed"),"",IF(S55&lt;Methodology!$B$4,"Overdue","On schedule"))</f>
        <v/>
      </c>
      <c r="U55" s="44" t="str">
        <f>IF(OR(A55="",P55="Closed",O55=""),"",IF(AND(P55&lt;&gt;"Escalated to register",OR(O55=Methodology!$B$28,O55=Methodology!$B$29)),"Consider escalating to Risk Register",IF(AND(P55="Escalated to register",R55=""),"Add Risk ID of promoted risk","")))</f>
        <v/>
      </c>
    </row>
    <row r="56" spans="1:21" x14ac:dyDescent="0.35">
      <c r="A56" s="35"/>
      <c r="B56" s="24"/>
      <c r="C56" s="24"/>
      <c r="D56" s="24"/>
      <c r="E56" s="35"/>
      <c r="F56" s="35"/>
      <c r="G56" s="46"/>
      <c r="H56" s="36"/>
      <c r="I56" s="36"/>
      <c r="J56" s="36"/>
      <c r="K56" s="36"/>
      <c r="L56" s="37" t="str">
        <f t="shared" si="2"/>
        <v/>
      </c>
      <c r="M56" s="37" t="str">
        <f>IF(I56="","",IFERROR(INDEX(Methodology!$B$54:$B$57,MATCH(I56,Methodology!$A$54:$A$57,0)),""))</f>
        <v/>
      </c>
      <c r="N56" s="37" t="str">
        <f t="shared" si="3"/>
        <v/>
      </c>
      <c r="O56" s="37" t="str">
        <f>IF(N56="","",INDEX(Methodology!$B$26:$B$29,MATCH(N56,Methodology!$A$26:$A$29,1)))</f>
        <v/>
      </c>
      <c r="P56" s="35"/>
      <c r="Q56" s="24"/>
      <c r="R56" s="35"/>
      <c r="S56" s="46"/>
      <c r="T56" s="37" t="str">
        <f>IF(OR(A56="",S56="",P56="Closed"),"",IF(S56&lt;Methodology!$B$4,"Overdue","On schedule"))</f>
        <v/>
      </c>
      <c r="U56" s="44" t="str">
        <f>IF(OR(A56="",P56="Closed",O56=""),"",IF(AND(P56&lt;&gt;"Escalated to register",OR(O56=Methodology!$B$28,O56=Methodology!$B$29)),"Consider escalating to Risk Register",IF(AND(P56="Escalated to register",R56=""),"Add Risk ID of promoted risk","")))</f>
        <v/>
      </c>
    </row>
    <row r="57" spans="1:21" x14ac:dyDescent="0.35">
      <c r="A57" s="35"/>
      <c r="B57" s="24"/>
      <c r="C57" s="24"/>
      <c r="D57" s="24"/>
      <c r="E57" s="35"/>
      <c r="F57" s="35"/>
      <c r="G57" s="46"/>
      <c r="H57" s="36"/>
      <c r="I57" s="36"/>
      <c r="J57" s="36"/>
      <c r="K57" s="36"/>
      <c r="L57" s="37" t="str">
        <f t="shared" si="2"/>
        <v/>
      </c>
      <c r="M57" s="37" t="str">
        <f>IF(I57="","",IFERROR(INDEX(Methodology!$B$54:$B$57,MATCH(I57,Methodology!$A$54:$A$57,0)),""))</f>
        <v/>
      </c>
      <c r="N57" s="37" t="str">
        <f t="shared" si="3"/>
        <v/>
      </c>
      <c r="O57" s="37" t="str">
        <f>IF(N57="","",INDEX(Methodology!$B$26:$B$29,MATCH(N57,Methodology!$A$26:$A$29,1)))</f>
        <v/>
      </c>
      <c r="P57" s="35"/>
      <c r="Q57" s="24"/>
      <c r="R57" s="35"/>
      <c r="S57" s="46"/>
      <c r="T57" s="37" t="str">
        <f>IF(OR(A57="",S57="",P57="Closed"),"",IF(S57&lt;Methodology!$B$4,"Overdue","On schedule"))</f>
        <v/>
      </c>
      <c r="U57" s="44" t="str">
        <f>IF(OR(A57="",P57="Closed",O57=""),"",IF(AND(P57&lt;&gt;"Escalated to register",OR(O57=Methodology!$B$28,O57=Methodology!$B$29)),"Consider escalating to Risk Register",IF(AND(P57="Escalated to register",R57=""),"Add Risk ID of promoted risk","")))</f>
        <v/>
      </c>
    </row>
    <row r="58" spans="1:21" x14ac:dyDescent="0.35">
      <c r="A58" s="35"/>
      <c r="B58" s="24"/>
      <c r="C58" s="24"/>
      <c r="D58" s="24"/>
      <c r="E58" s="35"/>
      <c r="F58" s="35"/>
      <c r="G58" s="46"/>
      <c r="H58" s="36"/>
      <c r="I58" s="36"/>
      <c r="J58" s="36"/>
      <c r="K58" s="36"/>
      <c r="L58" s="37" t="str">
        <f t="shared" si="2"/>
        <v/>
      </c>
      <c r="M58" s="37" t="str">
        <f>IF(I58="","",IFERROR(INDEX(Methodology!$B$54:$B$57,MATCH(I58,Methodology!$A$54:$A$57,0)),""))</f>
        <v/>
      </c>
      <c r="N58" s="37" t="str">
        <f t="shared" si="3"/>
        <v/>
      </c>
      <c r="O58" s="37" t="str">
        <f>IF(N58="","",INDEX(Methodology!$B$26:$B$29,MATCH(N58,Methodology!$A$26:$A$29,1)))</f>
        <v/>
      </c>
      <c r="P58" s="35"/>
      <c r="Q58" s="24"/>
      <c r="R58" s="35"/>
      <c r="S58" s="46"/>
      <c r="T58" s="37" t="str">
        <f>IF(OR(A58="",S58="",P58="Closed"),"",IF(S58&lt;Methodology!$B$4,"Overdue","On schedule"))</f>
        <v/>
      </c>
      <c r="U58" s="44" t="str">
        <f>IF(OR(A58="",P58="Closed",O58=""),"",IF(AND(P58&lt;&gt;"Escalated to register",OR(O58=Methodology!$B$28,O58=Methodology!$B$29)),"Consider escalating to Risk Register",IF(AND(P58="Escalated to register",R58=""),"Add Risk ID of promoted risk","")))</f>
        <v/>
      </c>
    </row>
    <row r="59" spans="1:21" x14ac:dyDescent="0.35">
      <c r="A59" s="35"/>
      <c r="B59" s="24"/>
      <c r="C59" s="24"/>
      <c r="D59" s="24"/>
      <c r="E59" s="35"/>
      <c r="F59" s="35"/>
      <c r="G59" s="46"/>
      <c r="H59" s="36"/>
      <c r="I59" s="36"/>
      <c r="J59" s="36"/>
      <c r="K59" s="36"/>
      <c r="L59" s="37" t="str">
        <f t="shared" si="2"/>
        <v/>
      </c>
      <c r="M59" s="37" t="str">
        <f>IF(I59="","",IFERROR(INDEX(Methodology!$B$54:$B$57,MATCH(I59,Methodology!$A$54:$A$57,0)),""))</f>
        <v/>
      </c>
      <c r="N59" s="37" t="str">
        <f t="shared" si="3"/>
        <v/>
      </c>
      <c r="O59" s="37" t="str">
        <f>IF(N59="","",INDEX(Methodology!$B$26:$B$29,MATCH(N59,Methodology!$A$26:$A$29,1)))</f>
        <v/>
      </c>
      <c r="P59" s="35"/>
      <c r="Q59" s="24"/>
      <c r="R59" s="35"/>
      <c r="S59" s="46"/>
      <c r="T59" s="37" t="str">
        <f>IF(OR(A59="",S59="",P59="Closed"),"",IF(S59&lt;Methodology!$B$4,"Overdue","On schedule"))</f>
        <v/>
      </c>
      <c r="U59" s="44" t="str">
        <f>IF(OR(A59="",P59="Closed",O59=""),"",IF(AND(P59&lt;&gt;"Escalated to register",OR(O59=Methodology!$B$28,O59=Methodology!$B$29)),"Consider escalating to Risk Register",IF(AND(P59="Escalated to register",R59=""),"Add Risk ID of promoted risk","")))</f>
        <v/>
      </c>
    </row>
    <row r="60" spans="1:21" x14ac:dyDescent="0.35">
      <c r="A60" s="35"/>
      <c r="B60" s="24"/>
      <c r="C60" s="24"/>
      <c r="D60" s="24"/>
      <c r="E60" s="35"/>
      <c r="F60" s="35"/>
      <c r="G60" s="46"/>
      <c r="H60" s="36"/>
      <c r="I60" s="36"/>
      <c r="J60" s="36"/>
      <c r="K60" s="36"/>
      <c r="L60" s="37" t="str">
        <f t="shared" si="2"/>
        <v/>
      </c>
      <c r="M60" s="37" t="str">
        <f>IF(I60="","",IFERROR(INDEX(Methodology!$B$54:$B$57,MATCH(I60,Methodology!$A$54:$A$57,0)),""))</f>
        <v/>
      </c>
      <c r="N60" s="37" t="str">
        <f t="shared" si="3"/>
        <v/>
      </c>
      <c r="O60" s="37" t="str">
        <f>IF(N60="","",INDEX(Methodology!$B$26:$B$29,MATCH(N60,Methodology!$A$26:$A$29,1)))</f>
        <v/>
      </c>
      <c r="P60" s="35"/>
      <c r="Q60" s="24"/>
      <c r="R60" s="35"/>
      <c r="S60" s="46"/>
      <c r="T60" s="37" t="str">
        <f>IF(OR(A60="",S60="",P60="Closed"),"",IF(S60&lt;Methodology!$B$4,"Overdue","On schedule"))</f>
        <v/>
      </c>
      <c r="U60" s="44" t="str">
        <f>IF(OR(A60="",P60="Closed",O60=""),"",IF(AND(P60&lt;&gt;"Escalated to register",OR(O60=Methodology!$B$28,O60=Methodology!$B$29)),"Consider escalating to Risk Register",IF(AND(P60="Escalated to register",R60=""),"Add Risk ID of promoted risk","")))</f>
        <v/>
      </c>
    </row>
    <row r="61" spans="1:21" x14ac:dyDescent="0.35">
      <c r="A61" s="35"/>
      <c r="B61" s="24"/>
      <c r="C61" s="24"/>
      <c r="D61" s="24"/>
      <c r="E61" s="35"/>
      <c r="F61" s="35"/>
      <c r="G61" s="46"/>
      <c r="H61" s="36"/>
      <c r="I61" s="36"/>
      <c r="J61" s="36"/>
      <c r="K61" s="36"/>
      <c r="L61" s="37" t="str">
        <f t="shared" si="2"/>
        <v/>
      </c>
      <c r="M61" s="37" t="str">
        <f>IF(I61="","",IFERROR(INDEX(Methodology!$B$54:$B$57,MATCH(I61,Methodology!$A$54:$A$57,0)),""))</f>
        <v/>
      </c>
      <c r="N61" s="37" t="str">
        <f t="shared" si="3"/>
        <v/>
      </c>
      <c r="O61" s="37" t="str">
        <f>IF(N61="","",INDEX(Methodology!$B$26:$B$29,MATCH(N61,Methodology!$A$26:$A$29,1)))</f>
        <v/>
      </c>
      <c r="P61" s="35"/>
      <c r="Q61" s="24"/>
      <c r="R61" s="35"/>
      <c r="S61" s="46"/>
      <c r="T61" s="37" t="str">
        <f>IF(OR(A61="",S61="",P61="Closed"),"",IF(S61&lt;Methodology!$B$4,"Overdue","On schedule"))</f>
        <v/>
      </c>
      <c r="U61" s="44" t="str">
        <f>IF(OR(A61="",P61="Closed",O61=""),"",IF(AND(P61&lt;&gt;"Escalated to register",OR(O61=Methodology!$B$28,O61=Methodology!$B$29)),"Consider escalating to Risk Register",IF(AND(P61="Escalated to register",R61=""),"Add Risk ID of promoted risk","")))</f>
        <v/>
      </c>
    </row>
    <row r="62" spans="1:21" x14ac:dyDescent="0.35">
      <c r="A62" s="35"/>
      <c r="B62" s="24"/>
      <c r="C62" s="24"/>
      <c r="D62" s="24"/>
      <c r="E62" s="35"/>
      <c r="F62" s="35"/>
      <c r="G62" s="46"/>
      <c r="H62" s="36"/>
      <c r="I62" s="36"/>
      <c r="J62" s="36"/>
      <c r="K62" s="36"/>
      <c r="L62" s="37" t="str">
        <f t="shared" si="2"/>
        <v/>
      </c>
      <c r="M62" s="37" t="str">
        <f>IF(I62="","",IFERROR(INDEX(Methodology!$B$54:$B$57,MATCH(I62,Methodology!$A$54:$A$57,0)),""))</f>
        <v/>
      </c>
      <c r="N62" s="37" t="str">
        <f t="shared" si="3"/>
        <v/>
      </c>
      <c r="O62" s="37" t="str">
        <f>IF(N62="","",INDEX(Methodology!$B$26:$B$29,MATCH(N62,Methodology!$A$26:$A$29,1)))</f>
        <v/>
      </c>
      <c r="P62" s="35"/>
      <c r="Q62" s="24"/>
      <c r="R62" s="35"/>
      <c r="S62" s="46"/>
      <c r="T62" s="37" t="str">
        <f>IF(OR(A62="",S62="",P62="Closed"),"",IF(S62&lt;Methodology!$B$4,"Overdue","On schedule"))</f>
        <v/>
      </c>
      <c r="U62" s="44" t="str">
        <f>IF(OR(A62="",P62="Closed",O62=""),"",IF(AND(P62&lt;&gt;"Escalated to register",OR(O62=Methodology!$B$28,O62=Methodology!$B$29)),"Consider escalating to Risk Register",IF(AND(P62="Escalated to register",R62=""),"Add Risk ID of promoted risk","")))</f>
        <v/>
      </c>
    </row>
    <row r="63" spans="1:21" x14ac:dyDescent="0.35">
      <c r="A63" s="35"/>
      <c r="B63" s="24"/>
      <c r="C63" s="24"/>
      <c r="D63" s="24"/>
      <c r="E63" s="35"/>
      <c r="F63" s="35"/>
      <c r="G63" s="46"/>
      <c r="H63" s="36"/>
      <c r="I63" s="36"/>
      <c r="J63" s="36"/>
      <c r="K63" s="36"/>
      <c r="L63" s="37" t="str">
        <f t="shared" si="2"/>
        <v/>
      </c>
      <c r="M63" s="37" t="str">
        <f>IF(I63="","",IFERROR(INDEX(Methodology!$B$54:$B$57,MATCH(I63,Methodology!$A$54:$A$57,0)),""))</f>
        <v/>
      </c>
      <c r="N63" s="37" t="str">
        <f t="shared" si="3"/>
        <v/>
      </c>
      <c r="O63" s="37" t="str">
        <f>IF(N63="","",INDEX(Methodology!$B$26:$B$29,MATCH(N63,Methodology!$A$26:$A$29,1)))</f>
        <v/>
      </c>
      <c r="P63" s="35"/>
      <c r="Q63" s="24"/>
      <c r="R63" s="35"/>
      <c r="S63" s="46"/>
      <c r="T63" s="37" t="str">
        <f>IF(OR(A63="",S63="",P63="Closed"),"",IF(S63&lt;Methodology!$B$4,"Overdue","On schedule"))</f>
        <v/>
      </c>
      <c r="U63" s="44" t="str">
        <f>IF(OR(A63="",P63="Closed",O63=""),"",IF(AND(P63&lt;&gt;"Escalated to register",OR(O63=Methodology!$B$28,O63=Methodology!$B$29)),"Consider escalating to Risk Register",IF(AND(P63="Escalated to register",R63=""),"Add Risk ID of promoted risk","")))</f>
        <v/>
      </c>
    </row>
    <row r="64" spans="1:21" x14ac:dyDescent="0.35">
      <c r="A64" s="35"/>
      <c r="B64" s="24"/>
      <c r="C64" s="24"/>
      <c r="D64" s="24"/>
      <c r="E64" s="35"/>
      <c r="F64" s="35"/>
      <c r="G64" s="46"/>
      <c r="H64" s="36"/>
      <c r="I64" s="36"/>
      <c r="J64" s="36"/>
      <c r="K64" s="36"/>
      <c r="L64" s="37" t="str">
        <f t="shared" si="2"/>
        <v/>
      </c>
      <c r="M64" s="37" t="str">
        <f>IF(I64="","",IFERROR(INDEX(Methodology!$B$54:$B$57,MATCH(I64,Methodology!$A$54:$A$57,0)),""))</f>
        <v/>
      </c>
      <c r="N64" s="37" t="str">
        <f t="shared" si="3"/>
        <v/>
      </c>
      <c r="O64" s="37" t="str">
        <f>IF(N64="","",INDEX(Methodology!$B$26:$B$29,MATCH(N64,Methodology!$A$26:$A$29,1)))</f>
        <v/>
      </c>
      <c r="P64" s="35"/>
      <c r="Q64" s="24"/>
      <c r="R64" s="35"/>
      <c r="S64" s="46"/>
      <c r="T64" s="37" t="str">
        <f>IF(OR(A64="",S64="",P64="Closed"),"",IF(S64&lt;Methodology!$B$4,"Overdue","On schedule"))</f>
        <v/>
      </c>
      <c r="U64" s="44" t="str">
        <f>IF(OR(A64="",P64="Closed",O64=""),"",IF(AND(P64&lt;&gt;"Escalated to register",OR(O64=Methodology!$B$28,O64=Methodology!$B$29)),"Consider escalating to Risk Register",IF(AND(P64="Escalated to register",R64=""),"Add Risk ID of promoted risk","")))</f>
        <v/>
      </c>
    </row>
    <row r="65" spans="1:21" x14ac:dyDescent="0.35">
      <c r="A65" s="35"/>
      <c r="B65" s="24"/>
      <c r="C65" s="24"/>
      <c r="D65" s="24"/>
      <c r="E65" s="35"/>
      <c r="F65" s="35"/>
      <c r="G65" s="46"/>
      <c r="H65" s="36"/>
      <c r="I65" s="36"/>
      <c r="J65" s="36"/>
      <c r="K65" s="36"/>
      <c r="L65" s="37" t="str">
        <f t="shared" si="2"/>
        <v/>
      </c>
      <c r="M65" s="37" t="str">
        <f>IF(I65="","",IFERROR(INDEX(Methodology!$B$54:$B$57,MATCH(I65,Methodology!$A$54:$A$57,0)),""))</f>
        <v/>
      </c>
      <c r="N65" s="37" t="str">
        <f t="shared" si="3"/>
        <v/>
      </c>
      <c r="O65" s="37" t="str">
        <f>IF(N65="","",INDEX(Methodology!$B$26:$B$29,MATCH(N65,Methodology!$A$26:$A$29,1)))</f>
        <v/>
      </c>
      <c r="P65" s="35"/>
      <c r="Q65" s="24"/>
      <c r="R65" s="35"/>
      <c r="S65" s="46"/>
      <c r="T65" s="37" t="str">
        <f>IF(OR(A65="",S65="",P65="Closed"),"",IF(S65&lt;Methodology!$B$4,"Overdue","On schedule"))</f>
        <v/>
      </c>
      <c r="U65" s="44" t="str">
        <f>IF(OR(A65="",P65="Closed",O65=""),"",IF(AND(P65&lt;&gt;"Escalated to register",OR(O65=Methodology!$B$28,O65=Methodology!$B$29)),"Consider escalating to Risk Register",IF(AND(P65="Escalated to register",R65=""),"Add Risk ID of promoted risk","")))</f>
        <v/>
      </c>
    </row>
  </sheetData>
  <autoFilter ref="A5:U65" xr:uid="{00000000-0001-0000-0B00-000000000000}"/>
  <conditionalFormatting sqref="O6:O65">
    <cfRule type="expression" dxfId="32" priority="2">
      <formula>O6="Critical"</formula>
    </cfRule>
    <cfRule type="expression" dxfId="31" priority="3">
      <formula>O6="High"</formula>
    </cfRule>
    <cfRule type="expression" dxfId="30" priority="4">
      <formula>O6="Medium"</formula>
    </cfRule>
    <cfRule type="expression" dxfId="29" priority="5">
      <formula>O6="Low"</formula>
    </cfRule>
  </conditionalFormatting>
  <conditionalFormatting sqref="T6:T65">
    <cfRule type="expression" dxfId="28" priority="6">
      <formula>T6="Overdue"</formula>
    </cfRule>
  </conditionalFormatting>
  <conditionalFormatting sqref="U6:U65">
    <cfRule type="expression" dxfId="27" priority="7">
      <formula>U6&lt;&gt;""</formula>
    </cfRule>
  </conditionalFormatting>
  <dataValidations count="3">
    <dataValidation type="whole" allowBlank="1" showErrorMessage="1" error="Enter a whole number 1-5" sqref="J6:K65" xr:uid="{00000000-0002-0000-0B00-000000000000}">
      <formula1>1</formula1>
      <formula2>5</formula2>
    </dataValidation>
    <dataValidation type="list" allowBlank="1" showErrorMessage="1" sqref="H6:H65" xr:uid="{00000000-0002-0000-0B00-000002000000}">
      <formula1>"&lt;1 year,1-3 years,3-5 years,5+ years"</formula1>
      <formula2>0</formula2>
    </dataValidation>
    <dataValidation type="list" allowBlank="1" showErrorMessage="1" sqref="P6:P65" xr:uid="{00000000-0002-0000-0B00-000004000000}">
      <formula1>"Watching,Assessing,Escalated to register,Closed"</formula1>
      <formula2>0</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r:uid="{00000000-0002-0000-0B00-000001000000}">
          <x14:formula1>
            <xm:f>Appetite!$A$6:$A$17</xm:f>
          </x14:formula1>
          <x14:formula2>
            <xm:f>0</xm:f>
          </x14:formula2>
          <xm:sqref>E6:E65</xm:sqref>
        </x14:dataValidation>
        <x14:dataValidation type="list" allowBlank="1" showErrorMessage="1" xr:uid="{00000000-0002-0000-0B00-000003000000}">
          <x14:formula1>
            <xm:f>Methodology!$A$54:$A$57</xm:f>
          </x14:formula1>
          <x14:formula2>
            <xm:f>0</xm:f>
          </x14:formula2>
          <xm:sqref>I6:I65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548235"/>
  </sheetPr>
  <dimension ref="A1:AB65"/>
  <sheetViews>
    <sheetView showGridLines="0" workbookViewId="0">
      <pane xSplit="2" ySplit="7" topLeftCell="C8" activePane="bottomRight" state="frozen"/>
      <selection pane="topRight"/>
      <selection pane="bottomLeft"/>
      <selection pane="bottomRight" activeCell="C8" sqref="C8"/>
    </sheetView>
  </sheetViews>
  <sheetFormatPr defaultColWidth="8.6328125" defaultRowHeight="14.5" x14ac:dyDescent="0.35"/>
  <cols>
    <col min="1" max="1" width="11" customWidth="1"/>
    <col min="2" max="2" width="34" customWidth="1"/>
    <col min="3" max="3" width="9" customWidth="1"/>
    <col min="4" max="4" width="22" customWidth="1"/>
    <col min="5" max="5" width="36" customWidth="1"/>
    <col min="6" max="6" width="12" customWidth="1"/>
    <col min="7" max="8" width="13" customWidth="1"/>
    <col min="9" max="10" width="14" customWidth="1"/>
    <col min="11" max="11" width="15" customWidth="1"/>
    <col min="12" max="17" width="13" customWidth="1"/>
    <col min="18" max="18" width="10" customWidth="1"/>
    <col min="19" max="19" width="26" customWidth="1"/>
    <col min="20" max="20" width="8" customWidth="1"/>
    <col min="21" max="21" width="26" customWidth="1"/>
    <col min="22" max="24" width="34" customWidth="1"/>
    <col min="25" max="25" width="12" customWidth="1"/>
    <col min="26" max="27" width="14" customWidth="1"/>
    <col min="28" max="28" width="24" customWidth="1"/>
  </cols>
  <sheetData>
    <row r="1" spans="1:28" ht="20" x14ac:dyDescent="0.4">
      <c r="A1" s="2" t="s">
        <v>532</v>
      </c>
    </row>
    <row r="2" spans="1:28" x14ac:dyDescent="0.35">
      <c r="A2" s="1" t="s">
        <v>533</v>
      </c>
    </row>
    <row r="3" spans="1:28" x14ac:dyDescent="0.35">
      <c r="A3" s="49" t="s">
        <v>831</v>
      </c>
    </row>
    <row r="4" spans="1:28" ht="30" customHeight="1" x14ac:dyDescent="0.35">
      <c r="A4" s="20" t="s">
        <v>534</v>
      </c>
      <c r="B4" s="50">
        <v>750000</v>
      </c>
      <c r="D4" s="41" t="s">
        <v>535</v>
      </c>
      <c r="E4" s="41" t="s">
        <v>536</v>
      </c>
      <c r="F4" s="41" t="s">
        <v>537</v>
      </c>
      <c r="G4" s="41" t="s">
        <v>538</v>
      </c>
      <c r="H4" s="41" t="s">
        <v>539</v>
      </c>
    </row>
    <row r="5" spans="1:28" x14ac:dyDescent="0.35">
      <c r="A5" s="20" t="s">
        <v>540</v>
      </c>
      <c r="B5" s="50">
        <v>1500000</v>
      </c>
      <c r="D5" s="51">
        <f>SUM(K8:K57)</f>
        <v>478000</v>
      </c>
      <c r="E5" s="51">
        <f>SUM(N8:N57)</f>
        <v>223641.66666666666</v>
      </c>
      <c r="F5" s="51">
        <f>SUM(O8:O57)</f>
        <v>254358.33333333331</v>
      </c>
      <c r="G5" s="52" t="str">
        <f>IF(COUNTIF(A8:A57,"?*")=0,"No scenarios entered",IF(OR(NOT(ISNUMBER(B4)),NOT(ISNUMBER(B5)),B4&lt;0,B5&lt;0),"Set loss tolerances",IF(COUNTIF(U8:U57,"Invalid*")+COUNTIF(U8:U57,"Missing*")+COUNTIF(U8:U57,"Check*")&gt;0,"Invalid scenario inputs",IF(D5&gt;B4,"Exceeds tolerance","Within tolerance"))))</f>
        <v>Within tolerance</v>
      </c>
      <c r="H5" s="52">
        <f>COUNTIF(S8:S57,"Exceeds*")</f>
        <v>1</v>
      </c>
    </row>
    <row r="7" spans="1:28" ht="57.75" customHeight="1" x14ac:dyDescent="0.35">
      <c r="A7" s="16" t="s">
        <v>541</v>
      </c>
      <c r="B7" s="16" t="s">
        <v>542</v>
      </c>
      <c r="C7" s="16" t="s">
        <v>224</v>
      </c>
      <c r="D7" s="16" t="s">
        <v>55</v>
      </c>
      <c r="E7" s="16" t="s">
        <v>138</v>
      </c>
      <c r="F7" s="16" t="s">
        <v>543</v>
      </c>
      <c r="G7" s="16" t="s">
        <v>544</v>
      </c>
      <c r="H7" s="16" t="s">
        <v>545</v>
      </c>
      <c r="I7" s="16" t="s">
        <v>546</v>
      </c>
      <c r="J7" s="16" t="s">
        <v>547</v>
      </c>
      <c r="K7" s="16" t="s">
        <v>548</v>
      </c>
      <c r="L7" s="16" t="s">
        <v>549</v>
      </c>
      <c r="M7" s="16" t="s">
        <v>550</v>
      </c>
      <c r="N7" s="16" t="s">
        <v>536</v>
      </c>
      <c r="O7" s="16" t="s">
        <v>551</v>
      </c>
      <c r="P7" s="16" t="s">
        <v>552</v>
      </c>
      <c r="Q7" s="16" t="s">
        <v>553</v>
      </c>
      <c r="R7" s="16" t="s">
        <v>554</v>
      </c>
      <c r="S7" s="16" t="s">
        <v>555</v>
      </c>
      <c r="T7" s="16" t="s">
        <v>556</v>
      </c>
      <c r="U7" s="16" t="s">
        <v>557</v>
      </c>
      <c r="V7" s="16" t="s">
        <v>558</v>
      </c>
      <c r="W7" s="16" t="s">
        <v>559</v>
      </c>
      <c r="X7" s="16" t="s">
        <v>560</v>
      </c>
      <c r="Y7" s="16" t="s">
        <v>561</v>
      </c>
      <c r="Z7" s="16" t="s">
        <v>562</v>
      </c>
      <c r="AA7" s="16" t="s">
        <v>563</v>
      </c>
      <c r="AB7" s="16" t="s">
        <v>564</v>
      </c>
    </row>
    <row r="8" spans="1:28" ht="37.5" x14ac:dyDescent="0.35">
      <c r="A8" s="35" t="s">
        <v>565</v>
      </c>
      <c r="B8" s="24" t="s">
        <v>566</v>
      </c>
      <c r="C8" s="35" t="s">
        <v>258</v>
      </c>
      <c r="D8" s="38" t="str">
        <f>IF(C8="","",IFERROR(INDEX('Risk Register'!$D$6:$D$105,MATCH(C8,'Risk Register'!$A$6:$A$105,0)),""))</f>
        <v>Cyber &amp; Information Security</v>
      </c>
      <c r="E8" s="24" t="s">
        <v>567</v>
      </c>
      <c r="F8" s="53">
        <v>0.15</v>
      </c>
      <c r="G8" s="54">
        <v>150000</v>
      </c>
      <c r="H8" s="54">
        <v>600000</v>
      </c>
      <c r="I8" s="54">
        <v>3500000</v>
      </c>
      <c r="J8" s="55">
        <f t="shared" ref="J8:J39" si="0">IF(U8&lt;&gt;"OK","",(G8+4*H8+I8)/6)</f>
        <v>1008333.3333333334</v>
      </c>
      <c r="K8" s="55">
        <f t="shared" ref="K8:K39" si="1">IF(U8&lt;&gt;"OK","",F8*J8)</f>
        <v>151250</v>
      </c>
      <c r="L8" s="47">
        <v>0.4</v>
      </c>
      <c r="M8" s="47">
        <v>0.3</v>
      </c>
      <c r="N8" s="55">
        <f t="shared" ref="N8:N39" si="2">IF(U8&lt;&gt;"OK","",F8*(1-L8)*J8*(1-M8))</f>
        <v>63524.999999999993</v>
      </c>
      <c r="O8" s="55">
        <f t="shared" ref="O8:O39" si="3">IF(U8&lt;&gt;"OK","",K8-N8)</f>
        <v>87725</v>
      </c>
      <c r="P8" s="54">
        <v>120000</v>
      </c>
      <c r="Q8" s="55">
        <f t="shared" ref="Q8:Q39" si="4">IF(U8&lt;&gt;"OK","",O8-P8)</f>
        <v>-32275</v>
      </c>
      <c r="R8" s="56">
        <f t="shared" ref="R8:R39" si="5">IF(OR(U8&lt;&gt;"OK",P8=0),"",O8/P8)</f>
        <v>0.7310416666666667</v>
      </c>
      <c r="S8" s="38" t="str">
        <f t="shared" ref="S8:S39" si="6">IF(A8="","",IF(U8&lt;&gt;"OK","Invalid scenario inputs",IF(OR(NOT(ISNUMBER($B$5)),$B$5&lt;0),"Set single-event tolerance",IF(I8&gt;$B$5,"Exceeds single-event tolerance","Within tolerance"))))</f>
        <v>Exceeds single-event tolerance</v>
      </c>
      <c r="T8" s="37">
        <f t="shared" ref="T8:T39" si="7">IF(K8="","",RANK(K8,$K$8:$K$57))</f>
        <v>1</v>
      </c>
      <c r="U8" s="37" t="str">
        <f t="shared" ref="U8:U39" si="8">IF(A8="","",IF(OR(F8="",G8="",H8="",I8="",L8="",M8="",P8=""),"Missing inputs",IF(OR(NOT(ISNUMBER(F8)),NOT(ISNUMBER(G8)),NOT(ISNUMBER(H8)),NOT(ISNUMBER(I8)),NOT(ISNUMBER(L8)),NOT(ISNUMBER(M8)),NOT(ISNUMBER(P8))),"Invalid inputs",IF(OR(F8&lt;0,G8&lt;0,H8&lt;0,I8&lt;0,L8&lt;0,L8&gt;1,M8&lt;0,M8&gt;1,P8&lt;0),"Invalid inputs",IF(AND(G8&lt;=H8,H8&lt;=I8),"OK","Check: min &lt;= most likely &lt;= severe")))))</f>
        <v>OK</v>
      </c>
      <c r="V8" s="24" t="s">
        <v>568</v>
      </c>
      <c r="W8" s="24" t="s">
        <v>569</v>
      </c>
      <c r="X8" s="24" t="s">
        <v>570</v>
      </c>
      <c r="Y8" s="36" t="s">
        <v>127</v>
      </c>
      <c r="Z8" s="55">
        <f t="shared" ref="Z8:Z39" si="9">IF(U8&lt;&gt;"OK","",F8*G8)</f>
        <v>22500</v>
      </c>
      <c r="AA8" s="55">
        <f t="shared" ref="AA8:AA39" si="10">IF(U8&lt;&gt;"OK","",F8*I8)</f>
        <v>525000</v>
      </c>
      <c r="AB8" s="37" t="str">
        <f t="shared" ref="AB8:AB39" si="11">IF(A8="","",IF(OR(V8="",W8="",Y8="",AND(OR(L8&gt;0,M8&gt;0),X8="")),"Basis or confidence missing","Documented"))</f>
        <v>Documented</v>
      </c>
    </row>
    <row r="9" spans="1:28" ht="25" x14ac:dyDescent="0.35">
      <c r="A9" s="35" t="s">
        <v>571</v>
      </c>
      <c r="B9" s="24" t="s">
        <v>572</v>
      </c>
      <c r="C9" s="35" t="s">
        <v>264</v>
      </c>
      <c r="D9" s="38" t="str">
        <f>IF(C9="","",IFERROR(INDEX('Risk Register'!$D$6:$D$105,MATCH(C9,'Risk Register'!$A$6:$A$105,0)),""))</f>
        <v>Third-Party</v>
      </c>
      <c r="E9" s="24" t="s">
        <v>573</v>
      </c>
      <c r="F9" s="53">
        <v>0.25</v>
      </c>
      <c r="G9" s="54">
        <v>80000</v>
      </c>
      <c r="H9" s="54">
        <v>250000</v>
      </c>
      <c r="I9" s="54">
        <v>1200000</v>
      </c>
      <c r="J9" s="55">
        <f t="shared" si="0"/>
        <v>380000</v>
      </c>
      <c r="K9" s="55">
        <f t="shared" si="1"/>
        <v>95000</v>
      </c>
      <c r="L9" s="47">
        <v>0.3</v>
      </c>
      <c r="M9" s="47">
        <v>0.2</v>
      </c>
      <c r="N9" s="55">
        <f t="shared" si="2"/>
        <v>53200</v>
      </c>
      <c r="O9" s="55">
        <f t="shared" si="3"/>
        <v>41800</v>
      </c>
      <c r="P9" s="54">
        <v>40000</v>
      </c>
      <c r="Q9" s="55">
        <f t="shared" si="4"/>
        <v>1800</v>
      </c>
      <c r="R9" s="56">
        <f t="shared" si="5"/>
        <v>1.0449999999999999</v>
      </c>
      <c r="S9" s="38" t="str">
        <f t="shared" si="6"/>
        <v>Within tolerance</v>
      </c>
      <c r="T9" s="37">
        <f t="shared" si="7"/>
        <v>3</v>
      </c>
      <c r="U9" s="37" t="str">
        <f t="shared" si="8"/>
        <v>OK</v>
      </c>
      <c r="V9" s="24" t="s">
        <v>574</v>
      </c>
      <c r="W9" s="24" t="s">
        <v>575</v>
      </c>
      <c r="X9" s="24" t="s">
        <v>576</v>
      </c>
      <c r="Y9" s="36" t="s">
        <v>129</v>
      </c>
      <c r="Z9" s="55">
        <f t="shared" si="9"/>
        <v>20000</v>
      </c>
      <c r="AA9" s="55">
        <f t="shared" si="10"/>
        <v>300000</v>
      </c>
      <c r="AB9" s="37" t="str">
        <f t="shared" si="11"/>
        <v>Documented</v>
      </c>
    </row>
    <row r="10" spans="1:28" ht="25" x14ac:dyDescent="0.35">
      <c r="A10" s="35" t="s">
        <v>577</v>
      </c>
      <c r="B10" s="24" t="s">
        <v>578</v>
      </c>
      <c r="C10" s="35" t="s">
        <v>270</v>
      </c>
      <c r="D10" s="38" t="str">
        <f>IF(C10="","",IFERROR(INDEX('Risk Register'!$D$6:$D$105,MATCH(C10,'Risk Register'!$A$6:$A$105,0)),""))</f>
        <v>Data Privacy</v>
      </c>
      <c r="E10" s="24" t="s">
        <v>579</v>
      </c>
      <c r="F10" s="53">
        <v>0.5</v>
      </c>
      <c r="G10" s="54">
        <v>20000</v>
      </c>
      <c r="H10" s="54">
        <v>80000</v>
      </c>
      <c r="I10" s="54">
        <v>400000</v>
      </c>
      <c r="J10" s="55">
        <f t="shared" si="0"/>
        <v>123333.33333333333</v>
      </c>
      <c r="K10" s="55">
        <f t="shared" si="1"/>
        <v>61666.666666666664</v>
      </c>
      <c r="L10" s="47">
        <v>0.5</v>
      </c>
      <c r="M10" s="47">
        <v>0.1</v>
      </c>
      <c r="N10" s="55">
        <f t="shared" si="2"/>
        <v>27750</v>
      </c>
      <c r="O10" s="55">
        <f t="shared" si="3"/>
        <v>33916.666666666664</v>
      </c>
      <c r="P10" s="54">
        <v>15000</v>
      </c>
      <c r="Q10" s="55">
        <f t="shared" si="4"/>
        <v>18916.666666666664</v>
      </c>
      <c r="R10" s="56">
        <f t="shared" si="5"/>
        <v>2.2611111111111111</v>
      </c>
      <c r="S10" s="38" t="str">
        <f t="shared" si="6"/>
        <v>Within tolerance</v>
      </c>
      <c r="T10" s="37">
        <f t="shared" si="7"/>
        <v>4</v>
      </c>
      <c r="U10" s="37" t="str">
        <f t="shared" si="8"/>
        <v>OK</v>
      </c>
      <c r="V10" s="24" t="s">
        <v>580</v>
      </c>
      <c r="W10" s="24" t="s">
        <v>581</v>
      </c>
      <c r="X10" s="24" t="s">
        <v>582</v>
      </c>
      <c r="Y10" s="36" t="s">
        <v>127</v>
      </c>
      <c r="Z10" s="55">
        <f t="shared" si="9"/>
        <v>10000</v>
      </c>
      <c r="AA10" s="55">
        <f t="shared" si="10"/>
        <v>200000</v>
      </c>
      <c r="AB10" s="37" t="str">
        <f t="shared" si="11"/>
        <v>Documented</v>
      </c>
    </row>
    <row r="11" spans="1:28" ht="25" x14ac:dyDescent="0.35">
      <c r="A11" s="35" t="s">
        <v>583</v>
      </c>
      <c r="B11" s="24" t="s">
        <v>584</v>
      </c>
      <c r="C11" s="35" t="s">
        <v>275</v>
      </c>
      <c r="D11" s="38" t="str">
        <f>IF(C11="","",IFERROR(INDEX('Risk Register'!$D$6:$D$105,MATCH(C11,'Risk Register'!$A$6:$A$105,0)),""))</f>
        <v>Compliance &amp; Regulatory</v>
      </c>
      <c r="E11" s="24" t="s">
        <v>585</v>
      </c>
      <c r="F11" s="53">
        <v>0.3</v>
      </c>
      <c r="G11" s="54">
        <v>25000</v>
      </c>
      <c r="H11" s="54">
        <v>100000</v>
      </c>
      <c r="I11" s="54">
        <v>750000</v>
      </c>
      <c r="J11" s="55">
        <f t="shared" si="0"/>
        <v>195833.33333333334</v>
      </c>
      <c r="K11" s="55">
        <f t="shared" si="1"/>
        <v>58750</v>
      </c>
      <c r="L11" s="47">
        <v>0.6</v>
      </c>
      <c r="M11" s="47">
        <v>0</v>
      </c>
      <c r="N11" s="55">
        <f t="shared" si="2"/>
        <v>23500</v>
      </c>
      <c r="O11" s="55">
        <f t="shared" si="3"/>
        <v>35250</v>
      </c>
      <c r="P11" s="54">
        <v>30000</v>
      </c>
      <c r="Q11" s="55">
        <f t="shared" si="4"/>
        <v>5250</v>
      </c>
      <c r="R11" s="56">
        <f t="shared" si="5"/>
        <v>1.175</v>
      </c>
      <c r="S11" s="38" t="str">
        <f t="shared" si="6"/>
        <v>Within tolerance</v>
      </c>
      <c r="T11" s="37">
        <f t="shared" si="7"/>
        <v>5</v>
      </c>
      <c r="U11" s="37" t="str">
        <f t="shared" si="8"/>
        <v>OK</v>
      </c>
      <c r="V11" s="24" t="s">
        <v>586</v>
      </c>
      <c r="W11" s="24" t="s">
        <v>587</v>
      </c>
      <c r="X11" s="24" t="s">
        <v>588</v>
      </c>
      <c r="Y11" s="36" t="s">
        <v>131</v>
      </c>
      <c r="Z11" s="55">
        <f t="shared" si="9"/>
        <v>7500</v>
      </c>
      <c r="AA11" s="55">
        <f t="shared" si="10"/>
        <v>225000</v>
      </c>
      <c r="AB11" s="37" t="str">
        <f t="shared" si="11"/>
        <v>Documented</v>
      </c>
    </row>
    <row r="12" spans="1:28" ht="25" x14ac:dyDescent="0.35">
      <c r="A12" s="35" t="s">
        <v>589</v>
      </c>
      <c r="B12" s="24" t="s">
        <v>590</v>
      </c>
      <c r="C12" s="35" t="s">
        <v>287</v>
      </c>
      <c r="D12" s="38" t="str">
        <f>IF(C12="","",IFERROR(INDEX('Risk Register'!$D$6:$D$105,MATCH(C12,'Risk Register'!$A$6:$A$105,0)),""))</f>
        <v>Technology</v>
      </c>
      <c r="E12" s="24" t="s">
        <v>591</v>
      </c>
      <c r="F12" s="53">
        <v>0.4</v>
      </c>
      <c r="G12" s="54">
        <v>50000</v>
      </c>
      <c r="H12" s="54">
        <v>180000</v>
      </c>
      <c r="I12" s="54">
        <v>900000</v>
      </c>
      <c r="J12" s="55">
        <f t="shared" si="0"/>
        <v>278333.33333333331</v>
      </c>
      <c r="K12" s="55">
        <f t="shared" si="1"/>
        <v>111333.33333333333</v>
      </c>
      <c r="L12" s="47">
        <v>0</v>
      </c>
      <c r="M12" s="47">
        <v>0.5</v>
      </c>
      <c r="N12" s="55">
        <f t="shared" si="2"/>
        <v>55666.666666666664</v>
      </c>
      <c r="O12" s="55">
        <f t="shared" si="3"/>
        <v>55666.666666666664</v>
      </c>
      <c r="P12" s="54">
        <v>200000</v>
      </c>
      <c r="Q12" s="55">
        <f t="shared" si="4"/>
        <v>-144333.33333333334</v>
      </c>
      <c r="R12" s="56">
        <f t="shared" si="5"/>
        <v>0.27833333333333332</v>
      </c>
      <c r="S12" s="38" t="str">
        <f t="shared" si="6"/>
        <v>Within tolerance</v>
      </c>
      <c r="T12" s="37">
        <f t="shared" si="7"/>
        <v>2</v>
      </c>
      <c r="U12" s="37" t="str">
        <f t="shared" si="8"/>
        <v>OK</v>
      </c>
      <c r="V12" s="24" t="s">
        <v>592</v>
      </c>
      <c r="W12" s="24" t="s">
        <v>593</v>
      </c>
      <c r="X12" s="24" t="s">
        <v>594</v>
      </c>
      <c r="Y12" s="36" t="s">
        <v>129</v>
      </c>
      <c r="Z12" s="55">
        <f t="shared" si="9"/>
        <v>20000</v>
      </c>
      <c r="AA12" s="55">
        <f t="shared" si="10"/>
        <v>360000</v>
      </c>
      <c r="AB12" s="37" t="str">
        <f t="shared" si="11"/>
        <v>Documented</v>
      </c>
    </row>
    <row r="13" spans="1:28" x14ac:dyDescent="0.35">
      <c r="A13" s="35"/>
      <c r="B13" s="24"/>
      <c r="C13" s="35"/>
      <c r="D13" s="38" t="str">
        <f>IF(C13="","",IFERROR(INDEX('Risk Register'!$D$6:$D$105,MATCH(C13,'Risk Register'!$A$6:$A$105,0)),""))</f>
        <v/>
      </c>
      <c r="E13" s="24"/>
      <c r="F13" s="53"/>
      <c r="G13" s="54"/>
      <c r="H13" s="54"/>
      <c r="I13" s="54"/>
      <c r="J13" s="55" t="str">
        <f t="shared" si="0"/>
        <v/>
      </c>
      <c r="K13" s="55" t="str">
        <f t="shared" si="1"/>
        <v/>
      </c>
      <c r="L13" s="47"/>
      <c r="M13" s="47"/>
      <c r="N13" s="55" t="str">
        <f t="shared" si="2"/>
        <v/>
      </c>
      <c r="O13" s="55" t="str">
        <f t="shared" si="3"/>
        <v/>
      </c>
      <c r="P13" s="54"/>
      <c r="Q13" s="55" t="str">
        <f t="shared" si="4"/>
        <v/>
      </c>
      <c r="R13" s="56" t="str">
        <f t="shared" si="5"/>
        <v/>
      </c>
      <c r="S13" s="38" t="str">
        <f t="shared" si="6"/>
        <v/>
      </c>
      <c r="T13" s="37" t="str">
        <f t="shared" si="7"/>
        <v/>
      </c>
      <c r="U13" s="37" t="str">
        <f t="shared" si="8"/>
        <v/>
      </c>
      <c r="V13" s="24"/>
      <c r="W13" s="24"/>
      <c r="X13" s="24"/>
      <c r="Y13" s="36"/>
      <c r="Z13" s="55" t="str">
        <f t="shared" si="9"/>
        <v/>
      </c>
      <c r="AA13" s="55" t="str">
        <f t="shared" si="10"/>
        <v/>
      </c>
      <c r="AB13" s="37" t="str">
        <f t="shared" si="11"/>
        <v/>
      </c>
    </row>
    <row r="14" spans="1:28" x14ac:dyDescent="0.35">
      <c r="A14" s="35"/>
      <c r="B14" s="24"/>
      <c r="C14" s="35"/>
      <c r="D14" s="38" t="str">
        <f>IF(C14="","",IFERROR(INDEX('Risk Register'!$D$6:$D$105,MATCH(C14,'Risk Register'!$A$6:$A$105,0)),""))</f>
        <v/>
      </c>
      <c r="E14" s="24"/>
      <c r="F14" s="53"/>
      <c r="G14" s="54"/>
      <c r="H14" s="54"/>
      <c r="I14" s="54"/>
      <c r="J14" s="55" t="str">
        <f t="shared" si="0"/>
        <v/>
      </c>
      <c r="K14" s="55" t="str">
        <f t="shared" si="1"/>
        <v/>
      </c>
      <c r="L14" s="47"/>
      <c r="M14" s="47"/>
      <c r="N14" s="55" t="str">
        <f t="shared" si="2"/>
        <v/>
      </c>
      <c r="O14" s="55" t="str">
        <f t="shared" si="3"/>
        <v/>
      </c>
      <c r="P14" s="54"/>
      <c r="Q14" s="55" t="str">
        <f t="shared" si="4"/>
        <v/>
      </c>
      <c r="R14" s="56" t="str">
        <f t="shared" si="5"/>
        <v/>
      </c>
      <c r="S14" s="38" t="str">
        <f t="shared" si="6"/>
        <v/>
      </c>
      <c r="T14" s="37" t="str">
        <f t="shared" si="7"/>
        <v/>
      </c>
      <c r="U14" s="37" t="str">
        <f t="shared" si="8"/>
        <v/>
      </c>
      <c r="V14" s="24"/>
      <c r="W14" s="24"/>
      <c r="X14" s="24"/>
      <c r="Y14" s="36"/>
      <c r="Z14" s="55" t="str">
        <f t="shared" si="9"/>
        <v/>
      </c>
      <c r="AA14" s="55" t="str">
        <f t="shared" si="10"/>
        <v/>
      </c>
      <c r="AB14" s="37" t="str">
        <f t="shared" si="11"/>
        <v/>
      </c>
    </row>
    <row r="15" spans="1:28" x14ac:dyDescent="0.35">
      <c r="A15" s="35"/>
      <c r="B15" s="24"/>
      <c r="C15" s="35"/>
      <c r="D15" s="38" t="str">
        <f>IF(C15="","",IFERROR(INDEX('Risk Register'!$D$6:$D$105,MATCH(C15,'Risk Register'!$A$6:$A$105,0)),""))</f>
        <v/>
      </c>
      <c r="E15" s="24"/>
      <c r="F15" s="53"/>
      <c r="G15" s="54"/>
      <c r="H15" s="54"/>
      <c r="I15" s="54"/>
      <c r="J15" s="55" t="str">
        <f t="shared" si="0"/>
        <v/>
      </c>
      <c r="K15" s="55" t="str">
        <f t="shared" si="1"/>
        <v/>
      </c>
      <c r="L15" s="47"/>
      <c r="M15" s="47"/>
      <c r="N15" s="55" t="str">
        <f t="shared" si="2"/>
        <v/>
      </c>
      <c r="O15" s="55" t="str">
        <f t="shared" si="3"/>
        <v/>
      </c>
      <c r="P15" s="54"/>
      <c r="Q15" s="55" t="str">
        <f t="shared" si="4"/>
        <v/>
      </c>
      <c r="R15" s="56" t="str">
        <f t="shared" si="5"/>
        <v/>
      </c>
      <c r="S15" s="38" t="str">
        <f t="shared" si="6"/>
        <v/>
      </c>
      <c r="T15" s="37" t="str">
        <f t="shared" si="7"/>
        <v/>
      </c>
      <c r="U15" s="37" t="str">
        <f t="shared" si="8"/>
        <v/>
      </c>
      <c r="V15" s="24"/>
      <c r="W15" s="24"/>
      <c r="X15" s="24"/>
      <c r="Y15" s="36"/>
      <c r="Z15" s="55" t="str">
        <f t="shared" si="9"/>
        <v/>
      </c>
      <c r="AA15" s="55" t="str">
        <f t="shared" si="10"/>
        <v/>
      </c>
      <c r="AB15" s="37" t="str">
        <f t="shared" si="11"/>
        <v/>
      </c>
    </row>
    <row r="16" spans="1:28" x14ac:dyDescent="0.35">
      <c r="A16" s="35"/>
      <c r="B16" s="24"/>
      <c r="C16" s="35"/>
      <c r="D16" s="38" t="str">
        <f>IF(C16="","",IFERROR(INDEX('Risk Register'!$D$6:$D$105,MATCH(C16,'Risk Register'!$A$6:$A$105,0)),""))</f>
        <v/>
      </c>
      <c r="E16" s="24"/>
      <c r="F16" s="53"/>
      <c r="G16" s="54"/>
      <c r="H16" s="54"/>
      <c r="I16" s="54"/>
      <c r="J16" s="55" t="str">
        <f t="shared" si="0"/>
        <v/>
      </c>
      <c r="K16" s="55" t="str">
        <f t="shared" si="1"/>
        <v/>
      </c>
      <c r="L16" s="47"/>
      <c r="M16" s="47"/>
      <c r="N16" s="55" t="str">
        <f t="shared" si="2"/>
        <v/>
      </c>
      <c r="O16" s="55" t="str">
        <f t="shared" si="3"/>
        <v/>
      </c>
      <c r="P16" s="54"/>
      <c r="Q16" s="55" t="str">
        <f t="shared" si="4"/>
        <v/>
      </c>
      <c r="R16" s="56" t="str">
        <f t="shared" si="5"/>
        <v/>
      </c>
      <c r="S16" s="38" t="str">
        <f t="shared" si="6"/>
        <v/>
      </c>
      <c r="T16" s="37" t="str">
        <f t="shared" si="7"/>
        <v/>
      </c>
      <c r="U16" s="37" t="str">
        <f t="shared" si="8"/>
        <v/>
      </c>
      <c r="V16" s="24"/>
      <c r="W16" s="24"/>
      <c r="X16" s="24"/>
      <c r="Y16" s="36"/>
      <c r="Z16" s="55" t="str">
        <f t="shared" si="9"/>
        <v/>
      </c>
      <c r="AA16" s="55" t="str">
        <f t="shared" si="10"/>
        <v/>
      </c>
      <c r="AB16" s="37" t="str">
        <f t="shared" si="11"/>
        <v/>
      </c>
    </row>
    <row r="17" spans="1:28" x14ac:dyDescent="0.35">
      <c r="A17" s="35"/>
      <c r="B17" s="24"/>
      <c r="C17" s="35"/>
      <c r="D17" s="38" t="str">
        <f>IF(C17="","",IFERROR(INDEX('Risk Register'!$D$6:$D$105,MATCH(C17,'Risk Register'!$A$6:$A$105,0)),""))</f>
        <v/>
      </c>
      <c r="E17" s="24"/>
      <c r="F17" s="53"/>
      <c r="G17" s="54"/>
      <c r="H17" s="54"/>
      <c r="I17" s="54"/>
      <c r="J17" s="55" t="str">
        <f t="shared" si="0"/>
        <v/>
      </c>
      <c r="K17" s="55" t="str">
        <f t="shared" si="1"/>
        <v/>
      </c>
      <c r="L17" s="47"/>
      <c r="M17" s="47"/>
      <c r="N17" s="55" t="str">
        <f t="shared" si="2"/>
        <v/>
      </c>
      <c r="O17" s="55" t="str">
        <f t="shared" si="3"/>
        <v/>
      </c>
      <c r="P17" s="54"/>
      <c r="Q17" s="55" t="str">
        <f t="shared" si="4"/>
        <v/>
      </c>
      <c r="R17" s="56" t="str">
        <f t="shared" si="5"/>
        <v/>
      </c>
      <c r="S17" s="38" t="str">
        <f t="shared" si="6"/>
        <v/>
      </c>
      <c r="T17" s="37" t="str">
        <f t="shared" si="7"/>
        <v/>
      </c>
      <c r="U17" s="37" t="str">
        <f t="shared" si="8"/>
        <v/>
      </c>
      <c r="V17" s="24"/>
      <c r="W17" s="24"/>
      <c r="X17" s="24"/>
      <c r="Y17" s="36"/>
      <c r="Z17" s="55" t="str">
        <f t="shared" si="9"/>
        <v/>
      </c>
      <c r="AA17" s="55" t="str">
        <f t="shared" si="10"/>
        <v/>
      </c>
      <c r="AB17" s="37" t="str">
        <f t="shared" si="11"/>
        <v/>
      </c>
    </row>
    <row r="18" spans="1:28" x14ac:dyDescent="0.35">
      <c r="A18" s="35"/>
      <c r="B18" s="24"/>
      <c r="C18" s="35"/>
      <c r="D18" s="38" t="str">
        <f>IF(C18="","",IFERROR(INDEX('Risk Register'!$D$6:$D$105,MATCH(C18,'Risk Register'!$A$6:$A$105,0)),""))</f>
        <v/>
      </c>
      <c r="E18" s="24"/>
      <c r="F18" s="53"/>
      <c r="G18" s="54"/>
      <c r="H18" s="54"/>
      <c r="I18" s="54"/>
      <c r="J18" s="55" t="str">
        <f t="shared" si="0"/>
        <v/>
      </c>
      <c r="K18" s="55" t="str">
        <f t="shared" si="1"/>
        <v/>
      </c>
      <c r="L18" s="47"/>
      <c r="M18" s="47"/>
      <c r="N18" s="55" t="str">
        <f t="shared" si="2"/>
        <v/>
      </c>
      <c r="O18" s="55" t="str">
        <f t="shared" si="3"/>
        <v/>
      </c>
      <c r="P18" s="54"/>
      <c r="Q18" s="55" t="str">
        <f t="shared" si="4"/>
        <v/>
      </c>
      <c r="R18" s="56" t="str">
        <f t="shared" si="5"/>
        <v/>
      </c>
      <c r="S18" s="38" t="str">
        <f t="shared" si="6"/>
        <v/>
      </c>
      <c r="T18" s="37" t="str">
        <f t="shared" si="7"/>
        <v/>
      </c>
      <c r="U18" s="37" t="str">
        <f t="shared" si="8"/>
        <v/>
      </c>
      <c r="V18" s="24"/>
      <c r="W18" s="24"/>
      <c r="X18" s="24"/>
      <c r="Y18" s="36"/>
      <c r="Z18" s="55" t="str">
        <f t="shared" si="9"/>
        <v/>
      </c>
      <c r="AA18" s="55" t="str">
        <f t="shared" si="10"/>
        <v/>
      </c>
      <c r="AB18" s="37" t="str">
        <f t="shared" si="11"/>
        <v/>
      </c>
    </row>
    <row r="19" spans="1:28" x14ac:dyDescent="0.35">
      <c r="A19" s="35"/>
      <c r="B19" s="24"/>
      <c r="C19" s="35"/>
      <c r="D19" s="38" t="str">
        <f>IF(C19="","",IFERROR(INDEX('Risk Register'!$D$6:$D$105,MATCH(C19,'Risk Register'!$A$6:$A$105,0)),""))</f>
        <v/>
      </c>
      <c r="E19" s="24"/>
      <c r="F19" s="53"/>
      <c r="G19" s="54"/>
      <c r="H19" s="54"/>
      <c r="I19" s="54"/>
      <c r="J19" s="55" t="str">
        <f t="shared" si="0"/>
        <v/>
      </c>
      <c r="K19" s="55" t="str">
        <f t="shared" si="1"/>
        <v/>
      </c>
      <c r="L19" s="47"/>
      <c r="M19" s="47"/>
      <c r="N19" s="55" t="str">
        <f t="shared" si="2"/>
        <v/>
      </c>
      <c r="O19" s="55" t="str">
        <f t="shared" si="3"/>
        <v/>
      </c>
      <c r="P19" s="54"/>
      <c r="Q19" s="55" t="str">
        <f t="shared" si="4"/>
        <v/>
      </c>
      <c r="R19" s="56" t="str">
        <f t="shared" si="5"/>
        <v/>
      </c>
      <c r="S19" s="38" t="str">
        <f t="shared" si="6"/>
        <v/>
      </c>
      <c r="T19" s="37" t="str">
        <f t="shared" si="7"/>
        <v/>
      </c>
      <c r="U19" s="37" t="str">
        <f t="shared" si="8"/>
        <v/>
      </c>
      <c r="V19" s="24"/>
      <c r="W19" s="24"/>
      <c r="X19" s="24"/>
      <c r="Y19" s="36"/>
      <c r="Z19" s="55" t="str">
        <f t="shared" si="9"/>
        <v/>
      </c>
      <c r="AA19" s="55" t="str">
        <f t="shared" si="10"/>
        <v/>
      </c>
      <c r="AB19" s="37" t="str">
        <f t="shared" si="11"/>
        <v/>
      </c>
    </row>
    <row r="20" spans="1:28" x14ac:dyDescent="0.35">
      <c r="A20" s="35"/>
      <c r="B20" s="24"/>
      <c r="C20" s="35"/>
      <c r="D20" s="38" t="str">
        <f>IF(C20="","",IFERROR(INDEX('Risk Register'!$D$6:$D$105,MATCH(C20,'Risk Register'!$A$6:$A$105,0)),""))</f>
        <v/>
      </c>
      <c r="E20" s="24"/>
      <c r="F20" s="53"/>
      <c r="G20" s="54"/>
      <c r="H20" s="54"/>
      <c r="I20" s="54"/>
      <c r="J20" s="55" t="str">
        <f t="shared" si="0"/>
        <v/>
      </c>
      <c r="K20" s="55" t="str">
        <f t="shared" si="1"/>
        <v/>
      </c>
      <c r="L20" s="47"/>
      <c r="M20" s="47"/>
      <c r="N20" s="55" t="str">
        <f t="shared" si="2"/>
        <v/>
      </c>
      <c r="O20" s="55" t="str">
        <f t="shared" si="3"/>
        <v/>
      </c>
      <c r="P20" s="54"/>
      <c r="Q20" s="55" t="str">
        <f t="shared" si="4"/>
        <v/>
      </c>
      <c r="R20" s="56" t="str">
        <f t="shared" si="5"/>
        <v/>
      </c>
      <c r="S20" s="38" t="str">
        <f t="shared" si="6"/>
        <v/>
      </c>
      <c r="T20" s="37" t="str">
        <f t="shared" si="7"/>
        <v/>
      </c>
      <c r="U20" s="37" t="str">
        <f t="shared" si="8"/>
        <v/>
      </c>
      <c r="V20" s="24"/>
      <c r="W20" s="24"/>
      <c r="X20" s="24"/>
      <c r="Y20" s="36"/>
      <c r="Z20" s="55" t="str">
        <f t="shared" si="9"/>
        <v/>
      </c>
      <c r="AA20" s="55" t="str">
        <f t="shared" si="10"/>
        <v/>
      </c>
      <c r="AB20" s="37" t="str">
        <f t="shared" si="11"/>
        <v/>
      </c>
    </row>
    <row r="21" spans="1:28" x14ac:dyDescent="0.35">
      <c r="A21" s="35"/>
      <c r="B21" s="24"/>
      <c r="C21" s="35"/>
      <c r="D21" s="38" t="str">
        <f>IF(C21="","",IFERROR(INDEX('Risk Register'!$D$6:$D$105,MATCH(C21,'Risk Register'!$A$6:$A$105,0)),""))</f>
        <v/>
      </c>
      <c r="E21" s="24"/>
      <c r="F21" s="53"/>
      <c r="G21" s="54"/>
      <c r="H21" s="54"/>
      <c r="I21" s="54"/>
      <c r="J21" s="55" t="str">
        <f t="shared" si="0"/>
        <v/>
      </c>
      <c r="K21" s="55" t="str">
        <f t="shared" si="1"/>
        <v/>
      </c>
      <c r="L21" s="47"/>
      <c r="M21" s="47"/>
      <c r="N21" s="55" t="str">
        <f t="shared" si="2"/>
        <v/>
      </c>
      <c r="O21" s="55" t="str">
        <f t="shared" si="3"/>
        <v/>
      </c>
      <c r="P21" s="54"/>
      <c r="Q21" s="55" t="str">
        <f t="shared" si="4"/>
        <v/>
      </c>
      <c r="R21" s="56" t="str">
        <f t="shared" si="5"/>
        <v/>
      </c>
      <c r="S21" s="38" t="str">
        <f t="shared" si="6"/>
        <v/>
      </c>
      <c r="T21" s="37" t="str">
        <f t="shared" si="7"/>
        <v/>
      </c>
      <c r="U21" s="37" t="str">
        <f t="shared" si="8"/>
        <v/>
      </c>
      <c r="V21" s="24"/>
      <c r="W21" s="24"/>
      <c r="X21" s="24"/>
      <c r="Y21" s="36"/>
      <c r="Z21" s="55" t="str">
        <f t="shared" si="9"/>
        <v/>
      </c>
      <c r="AA21" s="55" t="str">
        <f t="shared" si="10"/>
        <v/>
      </c>
      <c r="AB21" s="37" t="str">
        <f t="shared" si="11"/>
        <v/>
      </c>
    </row>
    <row r="22" spans="1:28" x14ac:dyDescent="0.35">
      <c r="A22" s="35"/>
      <c r="B22" s="24"/>
      <c r="C22" s="35"/>
      <c r="D22" s="38" t="str">
        <f>IF(C22="","",IFERROR(INDEX('Risk Register'!$D$6:$D$105,MATCH(C22,'Risk Register'!$A$6:$A$105,0)),""))</f>
        <v/>
      </c>
      <c r="E22" s="24"/>
      <c r="F22" s="53"/>
      <c r="G22" s="54"/>
      <c r="H22" s="54"/>
      <c r="I22" s="54"/>
      <c r="J22" s="55" t="str">
        <f t="shared" si="0"/>
        <v/>
      </c>
      <c r="K22" s="55" t="str">
        <f t="shared" si="1"/>
        <v/>
      </c>
      <c r="L22" s="47"/>
      <c r="M22" s="47"/>
      <c r="N22" s="55" t="str">
        <f t="shared" si="2"/>
        <v/>
      </c>
      <c r="O22" s="55" t="str">
        <f t="shared" si="3"/>
        <v/>
      </c>
      <c r="P22" s="54"/>
      <c r="Q22" s="55" t="str">
        <f t="shared" si="4"/>
        <v/>
      </c>
      <c r="R22" s="56" t="str">
        <f t="shared" si="5"/>
        <v/>
      </c>
      <c r="S22" s="38" t="str">
        <f t="shared" si="6"/>
        <v/>
      </c>
      <c r="T22" s="37" t="str">
        <f t="shared" si="7"/>
        <v/>
      </c>
      <c r="U22" s="37" t="str">
        <f t="shared" si="8"/>
        <v/>
      </c>
      <c r="V22" s="24"/>
      <c r="W22" s="24"/>
      <c r="X22" s="24"/>
      <c r="Y22" s="36"/>
      <c r="Z22" s="55" t="str">
        <f t="shared" si="9"/>
        <v/>
      </c>
      <c r="AA22" s="55" t="str">
        <f t="shared" si="10"/>
        <v/>
      </c>
      <c r="AB22" s="37" t="str">
        <f t="shared" si="11"/>
        <v/>
      </c>
    </row>
    <row r="23" spans="1:28" x14ac:dyDescent="0.35">
      <c r="A23" s="35"/>
      <c r="B23" s="24"/>
      <c r="C23" s="35"/>
      <c r="D23" s="38" t="str">
        <f>IF(C23="","",IFERROR(INDEX('Risk Register'!$D$6:$D$105,MATCH(C23,'Risk Register'!$A$6:$A$105,0)),""))</f>
        <v/>
      </c>
      <c r="E23" s="24"/>
      <c r="F23" s="53"/>
      <c r="G23" s="54"/>
      <c r="H23" s="54"/>
      <c r="I23" s="54"/>
      <c r="J23" s="55" t="str">
        <f t="shared" si="0"/>
        <v/>
      </c>
      <c r="K23" s="55" t="str">
        <f t="shared" si="1"/>
        <v/>
      </c>
      <c r="L23" s="47"/>
      <c r="M23" s="47"/>
      <c r="N23" s="55" t="str">
        <f t="shared" si="2"/>
        <v/>
      </c>
      <c r="O23" s="55" t="str">
        <f t="shared" si="3"/>
        <v/>
      </c>
      <c r="P23" s="54"/>
      <c r="Q23" s="55" t="str">
        <f t="shared" si="4"/>
        <v/>
      </c>
      <c r="R23" s="56" t="str">
        <f t="shared" si="5"/>
        <v/>
      </c>
      <c r="S23" s="38" t="str">
        <f t="shared" si="6"/>
        <v/>
      </c>
      <c r="T23" s="37" t="str">
        <f t="shared" si="7"/>
        <v/>
      </c>
      <c r="U23" s="37" t="str">
        <f t="shared" si="8"/>
        <v/>
      </c>
      <c r="V23" s="24"/>
      <c r="W23" s="24"/>
      <c r="X23" s="24"/>
      <c r="Y23" s="36"/>
      <c r="Z23" s="55" t="str">
        <f t="shared" si="9"/>
        <v/>
      </c>
      <c r="AA23" s="55" t="str">
        <f t="shared" si="10"/>
        <v/>
      </c>
      <c r="AB23" s="37" t="str">
        <f t="shared" si="11"/>
        <v/>
      </c>
    </row>
    <row r="24" spans="1:28" x14ac:dyDescent="0.35">
      <c r="A24" s="35"/>
      <c r="B24" s="24"/>
      <c r="C24" s="35"/>
      <c r="D24" s="38" t="str">
        <f>IF(C24="","",IFERROR(INDEX('Risk Register'!$D$6:$D$105,MATCH(C24,'Risk Register'!$A$6:$A$105,0)),""))</f>
        <v/>
      </c>
      <c r="E24" s="24"/>
      <c r="F24" s="53"/>
      <c r="G24" s="54"/>
      <c r="H24" s="54"/>
      <c r="I24" s="54"/>
      <c r="J24" s="55" t="str">
        <f t="shared" si="0"/>
        <v/>
      </c>
      <c r="K24" s="55" t="str">
        <f t="shared" si="1"/>
        <v/>
      </c>
      <c r="L24" s="47"/>
      <c r="M24" s="47"/>
      <c r="N24" s="55" t="str">
        <f t="shared" si="2"/>
        <v/>
      </c>
      <c r="O24" s="55" t="str">
        <f t="shared" si="3"/>
        <v/>
      </c>
      <c r="P24" s="54"/>
      <c r="Q24" s="55" t="str">
        <f t="shared" si="4"/>
        <v/>
      </c>
      <c r="R24" s="56" t="str">
        <f t="shared" si="5"/>
        <v/>
      </c>
      <c r="S24" s="38" t="str">
        <f t="shared" si="6"/>
        <v/>
      </c>
      <c r="T24" s="37" t="str">
        <f t="shared" si="7"/>
        <v/>
      </c>
      <c r="U24" s="37" t="str">
        <f t="shared" si="8"/>
        <v/>
      </c>
      <c r="V24" s="24"/>
      <c r="W24" s="24"/>
      <c r="X24" s="24"/>
      <c r="Y24" s="36"/>
      <c r="Z24" s="55" t="str">
        <f t="shared" si="9"/>
        <v/>
      </c>
      <c r="AA24" s="55" t="str">
        <f t="shared" si="10"/>
        <v/>
      </c>
      <c r="AB24" s="37" t="str">
        <f t="shared" si="11"/>
        <v/>
      </c>
    </row>
    <row r="25" spans="1:28" x14ac:dyDescent="0.35">
      <c r="A25" s="35"/>
      <c r="B25" s="24"/>
      <c r="C25" s="35"/>
      <c r="D25" s="38" t="str">
        <f>IF(C25="","",IFERROR(INDEX('Risk Register'!$D$6:$D$105,MATCH(C25,'Risk Register'!$A$6:$A$105,0)),""))</f>
        <v/>
      </c>
      <c r="E25" s="24"/>
      <c r="F25" s="53"/>
      <c r="G25" s="54"/>
      <c r="H25" s="54"/>
      <c r="I25" s="54"/>
      <c r="J25" s="55" t="str">
        <f t="shared" si="0"/>
        <v/>
      </c>
      <c r="K25" s="55" t="str">
        <f t="shared" si="1"/>
        <v/>
      </c>
      <c r="L25" s="47"/>
      <c r="M25" s="47"/>
      <c r="N25" s="55" t="str">
        <f t="shared" si="2"/>
        <v/>
      </c>
      <c r="O25" s="55" t="str">
        <f t="shared" si="3"/>
        <v/>
      </c>
      <c r="P25" s="54"/>
      <c r="Q25" s="55" t="str">
        <f t="shared" si="4"/>
        <v/>
      </c>
      <c r="R25" s="56" t="str">
        <f t="shared" si="5"/>
        <v/>
      </c>
      <c r="S25" s="38" t="str">
        <f t="shared" si="6"/>
        <v/>
      </c>
      <c r="T25" s="37" t="str">
        <f t="shared" si="7"/>
        <v/>
      </c>
      <c r="U25" s="37" t="str">
        <f t="shared" si="8"/>
        <v/>
      </c>
      <c r="V25" s="24"/>
      <c r="W25" s="24"/>
      <c r="X25" s="24"/>
      <c r="Y25" s="36"/>
      <c r="Z25" s="55" t="str">
        <f t="shared" si="9"/>
        <v/>
      </c>
      <c r="AA25" s="55" t="str">
        <f t="shared" si="10"/>
        <v/>
      </c>
      <c r="AB25" s="37" t="str">
        <f t="shared" si="11"/>
        <v/>
      </c>
    </row>
    <row r="26" spans="1:28" x14ac:dyDescent="0.35">
      <c r="A26" s="35"/>
      <c r="B26" s="24"/>
      <c r="C26" s="35"/>
      <c r="D26" s="38" t="str">
        <f>IF(C26="","",IFERROR(INDEX('Risk Register'!$D$6:$D$105,MATCH(C26,'Risk Register'!$A$6:$A$105,0)),""))</f>
        <v/>
      </c>
      <c r="E26" s="24"/>
      <c r="F26" s="53"/>
      <c r="G26" s="54"/>
      <c r="H26" s="54"/>
      <c r="I26" s="54"/>
      <c r="J26" s="55" t="str">
        <f t="shared" si="0"/>
        <v/>
      </c>
      <c r="K26" s="55" t="str">
        <f t="shared" si="1"/>
        <v/>
      </c>
      <c r="L26" s="47"/>
      <c r="M26" s="47"/>
      <c r="N26" s="55" t="str">
        <f t="shared" si="2"/>
        <v/>
      </c>
      <c r="O26" s="55" t="str">
        <f t="shared" si="3"/>
        <v/>
      </c>
      <c r="P26" s="54"/>
      <c r="Q26" s="55" t="str">
        <f t="shared" si="4"/>
        <v/>
      </c>
      <c r="R26" s="56" t="str">
        <f t="shared" si="5"/>
        <v/>
      </c>
      <c r="S26" s="38" t="str">
        <f t="shared" si="6"/>
        <v/>
      </c>
      <c r="T26" s="37" t="str">
        <f t="shared" si="7"/>
        <v/>
      </c>
      <c r="U26" s="37" t="str">
        <f t="shared" si="8"/>
        <v/>
      </c>
      <c r="V26" s="24"/>
      <c r="W26" s="24"/>
      <c r="X26" s="24"/>
      <c r="Y26" s="36"/>
      <c r="Z26" s="55" t="str">
        <f t="shared" si="9"/>
        <v/>
      </c>
      <c r="AA26" s="55" t="str">
        <f t="shared" si="10"/>
        <v/>
      </c>
      <c r="AB26" s="37" t="str">
        <f t="shared" si="11"/>
        <v/>
      </c>
    </row>
    <row r="27" spans="1:28" x14ac:dyDescent="0.35">
      <c r="A27" s="35"/>
      <c r="B27" s="24"/>
      <c r="C27" s="35"/>
      <c r="D27" s="38" t="str">
        <f>IF(C27="","",IFERROR(INDEX('Risk Register'!$D$6:$D$105,MATCH(C27,'Risk Register'!$A$6:$A$105,0)),""))</f>
        <v/>
      </c>
      <c r="E27" s="24"/>
      <c r="F27" s="53"/>
      <c r="G27" s="54"/>
      <c r="H27" s="54"/>
      <c r="I27" s="54"/>
      <c r="J27" s="55" t="str">
        <f t="shared" si="0"/>
        <v/>
      </c>
      <c r="K27" s="55" t="str">
        <f t="shared" si="1"/>
        <v/>
      </c>
      <c r="L27" s="47"/>
      <c r="M27" s="47"/>
      <c r="N27" s="55" t="str">
        <f t="shared" si="2"/>
        <v/>
      </c>
      <c r="O27" s="55" t="str">
        <f t="shared" si="3"/>
        <v/>
      </c>
      <c r="P27" s="54"/>
      <c r="Q27" s="55" t="str">
        <f t="shared" si="4"/>
        <v/>
      </c>
      <c r="R27" s="56" t="str">
        <f t="shared" si="5"/>
        <v/>
      </c>
      <c r="S27" s="38" t="str">
        <f t="shared" si="6"/>
        <v/>
      </c>
      <c r="T27" s="37" t="str">
        <f t="shared" si="7"/>
        <v/>
      </c>
      <c r="U27" s="37" t="str">
        <f t="shared" si="8"/>
        <v/>
      </c>
      <c r="V27" s="24"/>
      <c r="W27" s="24"/>
      <c r="X27" s="24"/>
      <c r="Y27" s="36"/>
      <c r="Z27" s="55" t="str">
        <f t="shared" si="9"/>
        <v/>
      </c>
      <c r="AA27" s="55" t="str">
        <f t="shared" si="10"/>
        <v/>
      </c>
      <c r="AB27" s="37" t="str">
        <f t="shared" si="11"/>
        <v/>
      </c>
    </row>
    <row r="28" spans="1:28" x14ac:dyDescent="0.35">
      <c r="A28" s="35"/>
      <c r="B28" s="24"/>
      <c r="C28" s="35"/>
      <c r="D28" s="38" t="str">
        <f>IF(C28="","",IFERROR(INDEX('Risk Register'!$D$6:$D$105,MATCH(C28,'Risk Register'!$A$6:$A$105,0)),""))</f>
        <v/>
      </c>
      <c r="E28" s="24"/>
      <c r="F28" s="53"/>
      <c r="G28" s="54"/>
      <c r="H28" s="54"/>
      <c r="I28" s="54"/>
      <c r="J28" s="55" t="str">
        <f t="shared" si="0"/>
        <v/>
      </c>
      <c r="K28" s="55" t="str">
        <f t="shared" si="1"/>
        <v/>
      </c>
      <c r="L28" s="47"/>
      <c r="M28" s="47"/>
      <c r="N28" s="55" t="str">
        <f t="shared" si="2"/>
        <v/>
      </c>
      <c r="O28" s="55" t="str">
        <f t="shared" si="3"/>
        <v/>
      </c>
      <c r="P28" s="54"/>
      <c r="Q28" s="55" t="str">
        <f t="shared" si="4"/>
        <v/>
      </c>
      <c r="R28" s="56" t="str">
        <f t="shared" si="5"/>
        <v/>
      </c>
      <c r="S28" s="38" t="str">
        <f t="shared" si="6"/>
        <v/>
      </c>
      <c r="T28" s="37" t="str">
        <f t="shared" si="7"/>
        <v/>
      </c>
      <c r="U28" s="37" t="str">
        <f t="shared" si="8"/>
        <v/>
      </c>
      <c r="V28" s="24"/>
      <c r="W28" s="24"/>
      <c r="X28" s="24"/>
      <c r="Y28" s="36"/>
      <c r="Z28" s="55" t="str">
        <f t="shared" si="9"/>
        <v/>
      </c>
      <c r="AA28" s="55" t="str">
        <f t="shared" si="10"/>
        <v/>
      </c>
      <c r="AB28" s="37" t="str">
        <f t="shared" si="11"/>
        <v/>
      </c>
    </row>
    <row r="29" spans="1:28" x14ac:dyDescent="0.35">
      <c r="A29" s="35"/>
      <c r="B29" s="24"/>
      <c r="C29" s="35"/>
      <c r="D29" s="38" t="str">
        <f>IF(C29="","",IFERROR(INDEX('Risk Register'!$D$6:$D$105,MATCH(C29,'Risk Register'!$A$6:$A$105,0)),""))</f>
        <v/>
      </c>
      <c r="E29" s="24"/>
      <c r="F29" s="53"/>
      <c r="G29" s="54"/>
      <c r="H29" s="54"/>
      <c r="I29" s="54"/>
      <c r="J29" s="55" t="str">
        <f t="shared" si="0"/>
        <v/>
      </c>
      <c r="K29" s="55" t="str">
        <f t="shared" si="1"/>
        <v/>
      </c>
      <c r="L29" s="47"/>
      <c r="M29" s="47"/>
      <c r="N29" s="55" t="str">
        <f t="shared" si="2"/>
        <v/>
      </c>
      <c r="O29" s="55" t="str">
        <f t="shared" si="3"/>
        <v/>
      </c>
      <c r="P29" s="54"/>
      <c r="Q29" s="55" t="str">
        <f t="shared" si="4"/>
        <v/>
      </c>
      <c r="R29" s="56" t="str">
        <f t="shared" si="5"/>
        <v/>
      </c>
      <c r="S29" s="38" t="str">
        <f t="shared" si="6"/>
        <v/>
      </c>
      <c r="T29" s="37" t="str">
        <f t="shared" si="7"/>
        <v/>
      </c>
      <c r="U29" s="37" t="str">
        <f t="shared" si="8"/>
        <v/>
      </c>
      <c r="V29" s="24"/>
      <c r="W29" s="24"/>
      <c r="X29" s="24"/>
      <c r="Y29" s="36"/>
      <c r="Z29" s="55" t="str">
        <f t="shared" si="9"/>
        <v/>
      </c>
      <c r="AA29" s="55" t="str">
        <f t="shared" si="10"/>
        <v/>
      </c>
      <c r="AB29" s="37" t="str">
        <f t="shared" si="11"/>
        <v/>
      </c>
    </row>
    <row r="30" spans="1:28" x14ac:dyDescent="0.35">
      <c r="A30" s="35"/>
      <c r="B30" s="24"/>
      <c r="C30" s="35"/>
      <c r="D30" s="38" t="str">
        <f>IF(C30="","",IFERROR(INDEX('Risk Register'!$D$6:$D$105,MATCH(C30,'Risk Register'!$A$6:$A$105,0)),""))</f>
        <v/>
      </c>
      <c r="E30" s="24"/>
      <c r="F30" s="53"/>
      <c r="G30" s="54"/>
      <c r="H30" s="54"/>
      <c r="I30" s="54"/>
      <c r="J30" s="55" t="str">
        <f t="shared" si="0"/>
        <v/>
      </c>
      <c r="K30" s="55" t="str">
        <f t="shared" si="1"/>
        <v/>
      </c>
      <c r="L30" s="47"/>
      <c r="M30" s="47"/>
      <c r="N30" s="55" t="str">
        <f t="shared" si="2"/>
        <v/>
      </c>
      <c r="O30" s="55" t="str">
        <f t="shared" si="3"/>
        <v/>
      </c>
      <c r="P30" s="54"/>
      <c r="Q30" s="55" t="str">
        <f t="shared" si="4"/>
        <v/>
      </c>
      <c r="R30" s="56" t="str">
        <f t="shared" si="5"/>
        <v/>
      </c>
      <c r="S30" s="38" t="str">
        <f t="shared" si="6"/>
        <v/>
      </c>
      <c r="T30" s="37" t="str">
        <f t="shared" si="7"/>
        <v/>
      </c>
      <c r="U30" s="37" t="str">
        <f t="shared" si="8"/>
        <v/>
      </c>
      <c r="V30" s="24"/>
      <c r="W30" s="24"/>
      <c r="X30" s="24"/>
      <c r="Y30" s="36"/>
      <c r="Z30" s="55" t="str">
        <f t="shared" si="9"/>
        <v/>
      </c>
      <c r="AA30" s="55" t="str">
        <f t="shared" si="10"/>
        <v/>
      </c>
      <c r="AB30" s="37" t="str">
        <f t="shared" si="11"/>
        <v/>
      </c>
    </row>
    <row r="31" spans="1:28" x14ac:dyDescent="0.35">
      <c r="A31" s="35"/>
      <c r="B31" s="24"/>
      <c r="C31" s="35"/>
      <c r="D31" s="38" t="str">
        <f>IF(C31="","",IFERROR(INDEX('Risk Register'!$D$6:$D$105,MATCH(C31,'Risk Register'!$A$6:$A$105,0)),""))</f>
        <v/>
      </c>
      <c r="E31" s="24"/>
      <c r="F31" s="53"/>
      <c r="G31" s="54"/>
      <c r="H31" s="54"/>
      <c r="I31" s="54"/>
      <c r="J31" s="55" t="str">
        <f t="shared" si="0"/>
        <v/>
      </c>
      <c r="K31" s="55" t="str">
        <f t="shared" si="1"/>
        <v/>
      </c>
      <c r="L31" s="47"/>
      <c r="M31" s="47"/>
      <c r="N31" s="55" t="str">
        <f t="shared" si="2"/>
        <v/>
      </c>
      <c r="O31" s="55" t="str">
        <f t="shared" si="3"/>
        <v/>
      </c>
      <c r="P31" s="54"/>
      <c r="Q31" s="55" t="str">
        <f t="shared" si="4"/>
        <v/>
      </c>
      <c r="R31" s="56" t="str">
        <f t="shared" si="5"/>
        <v/>
      </c>
      <c r="S31" s="38" t="str">
        <f t="shared" si="6"/>
        <v/>
      </c>
      <c r="T31" s="37" t="str">
        <f t="shared" si="7"/>
        <v/>
      </c>
      <c r="U31" s="37" t="str">
        <f t="shared" si="8"/>
        <v/>
      </c>
      <c r="V31" s="24"/>
      <c r="W31" s="24"/>
      <c r="X31" s="24"/>
      <c r="Y31" s="36"/>
      <c r="Z31" s="55" t="str">
        <f t="shared" si="9"/>
        <v/>
      </c>
      <c r="AA31" s="55" t="str">
        <f t="shared" si="10"/>
        <v/>
      </c>
      <c r="AB31" s="37" t="str">
        <f t="shared" si="11"/>
        <v/>
      </c>
    </row>
    <row r="32" spans="1:28" x14ac:dyDescent="0.35">
      <c r="A32" s="35"/>
      <c r="B32" s="24"/>
      <c r="C32" s="35"/>
      <c r="D32" s="38" t="str">
        <f>IF(C32="","",IFERROR(INDEX('Risk Register'!$D$6:$D$105,MATCH(C32,'Risk Register'!$A$6:$A$105,0)),""))</f>
        <v/>
      </c>
      <c r="E32" s="24"/>
      <c r="F32" s="53"/>
      <c r="G32" s="54"/>
      <c r="H32" s="54"/>
      <c r="I32" s="54"/>
      <c r="J32" s="55" t="str">
        <f t="shared" si="0"/>
        <v/>
      </c>
      <c r="K32" s="55" t="str">
        <f t="shared" si="1"/>
        <v/>
      </c>
      <c r="L32" s="47"/>
      <c r="M32" s="47"/>
      <c r="N32" s="55" t="str">
        <f t="shared" si="2"/>
        <v/>
      </c>
      <c r="O32" s="55" t="str">
        <f t="shared" si="3"/>
        <v/>
      </c>
      <c r="P32" s="54"/>
      <c r="Q32" s="55" t="str">
        <f t="shared" si="4"/>
        <v/>
      </c>
      <c r="R32" s="56" t="str">
        <f t="shared" si="5"/>
        <v/>
      </c>
      <c r="S32" s="38" t="str">
        <f t="shared" si="6"/>
        <v/>
      </c>
      <c r="T32" s="37" t="str">
        <f t="shared" si="7"/>
        <v/>
      </c>
      <c r="U32" s="37" t="str">
        <f t="shared" si="8"/>
        <v/>
      </c>
      <c r="V32" s="24"/>
      <c r="W32" s="24"/>
      <c r="X32" s="24"/>
      <c r="Y32" s="36"/>
      <c r="Z32" s="55" t="str">
        <f t="shared" si="9"/>
        <v/>
      </c>
      <c r="AA32" s="55" t="str">
        <f t="shared" si="10"/>
        <v/>
      </c>
      <c r="AB32" s="37" t="str">
        <f t="shared" si="11"/>
        <v/>
      </c>
    </row>
    <row r="33" spans="1:28" x14ac:dyDescent="0.35">
      <c r="A33" s="35"/>
      <c r="B33" s="24"/>
      <c r="C33" s="35"/>
      <c r="D33" s="38" t="str">
        <f>IF(C33="","",IFERROR(INDEX('Risk Register'!$D$6:$D$105,MATCH(C33,'Risk Register'!$A$6:$A$105,0)),""))</f>
        <v/>
      </c>
      <c r="E33" s="24"/>
      <c r="F33" s="53"/>
      <c r="G33" s="54"/>
      <c r="H33" s="54"/>
      <c r="I33" s="54"/>
      <c r="J33" s="55" t="str">
        <f t="shared" si="0"/>
        <v/>
      </c>
      <c r="K33" s="55" t="str">
        <f t="shared" si="1"/>
        <v/>
      </c>
      <c r="L33" s="47"/>
      <c r="M33" s="47"/>
      <c r="N33" s="55" t="str">
        <f t="shared" si="2"/>
        <v/>
      </c>
      <c r="O33" s="55" t="str">
        <f t="shared" si="3"/>
        <v/>
      </c>
      <c r="P33" s="54"/>
      <c r="Q33" s="55" t="str">
        <f t="shared" si="4"/>
        <v/>
      </c>
      <c r="R33" s="56" t="str">
        <f t="shared" si="5"/>
        <v/>
      </c>
      <c r="S33" s="38" t="str">
        <f t="shared" si="6"/>
        <v/>
      </c>
      <c r="T33" s="37" t="str">
        <f t="shared" si="7"/>
        <v/>
      </c>
      <c r="U33" s="37" t="str">
        <f t="shared" si="8"/>
        <v/>
      </c>
      <c r="V33" s="24"/>
      <c r="W33" s="24"/>
      <c r="X33" s="24"/>
      <c r="Y33" s="36"/>
      <c r="Z33" s="55" t="str">
        <f t="shared" si="9"/>
        <v/>
      </c>
      <c r="AA33" s="55" t="str">
        <f t="shared" si="10"/>
        <v/>
      </c>
      <c r="AB33" s="37" t="str">
        <f t="shared" si="11"/>
        <v/>
      </c>
    </row>
    <row r="34" spans="1:28" x14ac:dyDescent="0.35">
      <c r="A34" s="35"/>
      <c r="B34" s="24"/>
      <c r="C34" s="35"/>
      <c r="D34" s="38" t="str">
        <f>IF(C34="","",IFERROR(INDEX('Risk Register'!$D$6:$D$105,MATCH(C34,'Risk Register'!$A$6:$A$105,0)),""))</f>
        <v/>
      </c>
      <c r="E34" s="24"/>
      <c r="F34" s="53"/>
      <c r="G34" s="54"/>
      <c r="H34" s="54"/>
      <c r="I34" s="54"/>
      <c r="J34" s="55" t="str">
        <f t="shared" si="0"/>
        <v/>
      </c>
      <c r="K34" s="55" t="str">
        <f t="shared" si="1"/>
        <v/>
      </c>
      <c r="L34" s="47"/>
      <c r="M34" s="47"/>
      <c r="N34" s="55" t="str">
        <f t="shared" si="2"/>
        <v/>
      </c>
      <c r="O34" s="55" t="str">
        <f t="shared" si="3"/>
        <v/>
      </c>
      <c r="P34" s="54"/>
      <c r="Q34" s="55" t="str">
        <f t="shared" si="4"/>
        <v/>
      </c>
      <c r="R34" s="56" t="str">
        <f t="shared" si="5"/>
        <v/>
      </c>
      <c r="S34" s="38" t="str">
        <f t="shared" si="6"/>
        <v/>
      </c>
      <c r="T34" s="37" t="str">
        <f t="shared" si="7"/>
        <v/>
      </c>
      <c r="U34" s="37" t="str">
        <f t="shared" si="8"/>
        <v/>
      </c>
      <c r="V34" s="24"/>
      <c r="W34" s="24"/>
      <c r="X34" s="24"/>
      <c r="Y34" s="36"/>
      <c r="Z34" s="55" t="str">
        <f t="shared" si="9"/>
        <v/>
      </c>
      <c r="AA34" s="55" t="str">
        <f t="shared" si="10"/>
        <v/>
      </c>
      <c r="AB34" s="37" t="str">
        <f t="shared" si="11"/>
        <v/>
      </c>
    </row>
    <row r="35" spans="1:28" x14ac:dyDescent="0.35">
      <c r="A35" s="35"/>
      <c r="B35" s="24"/>
      <c r="C35" s="35"/>
      <c r="D35" s="38" t="str">
        <f>IF(C35="","",IFERROR(INDEX('Risk Register'!$D$6:$D$105,MATCH(C35,'Risk Register'!$A$6:$A$105,0)),""))</f>
        <v/>
      </c>
      <c r="E35" s="24"/>
      <c r="F35" s="53"/>
      <c r="G35" s="54"/>
      <c r="H35" s="54"/>
      <c r="I35" s="54"/>
      <c r="J35" s="55" t="str">
        <f t="shared" si="0"/>
        <v/>
      </c>
      <c r="K35" s="55" t="str">
        <f t="shared" si="1"/>
        <v/>
      </c>
      <c r="L35" s="47"/>
      <c r="M35" s="47"/>
      <c r="N35" s="55" t="str">
        <f t="shared" si="2"/>
        <v/>
      </c>
      <c r="O35" s="55" t="str">
        <f t="shared" si="3"/>
        <v/>
      </c>
      <c r="P35" s="54"/>
      <c r="Q35" s="55" t="str">
        <f t="shared" si="4"/>
        <v/>
      </c>
      <c r="R35" s="56" t="str">
        <f t="shared" si="5"/>
        <v/>
      </c>
      <c r="S35" s="38" t="str">
        <f t="shared" si="6"/>
        <v/>
      </c>
      <c r="T35" s="37" t="str">
        <f t="shared" si="7"/>
        <v/>
      </c>
      <c r="U35" s="37" t="str">
        <f t="shared" si="8"/>
        <v/>
      </c>
      <c r="V35" s="24"/>
      <c r="W35" s="24"/>
      <c r="X35" s="24"/>
      <c r="Y35" s="36"/>
      <c r="Z35" s="55" t="str">
        <f t="shared" si="9"/>
        <v/>
      </c>
      <c r="AA35" s="55" t="str">
        <f t="shared" si="10"/>
        <v/>
      </c>
      <c r="AB35" s="37" t="str">
        <f t="shared" si="11"/>
        <v/>
      </c>
    </row>
    <row r="36" spans="1:28" x14ac:dyDescent="0.35">
      <c r="A36" s="35"/>
      <c r="B36" s="24"/>
      <c r="C36" s="35"/>
      <c r="D36" s="38" t="str">
        <f>IF(C36="","",IFERROR(INDEX('Risk Register'!$D$6:$D$105,MATCH(C36,'Risk Register'!$A$6:$A$105,0)),""))</f>
        <v/>
      </c>
      <c r="E36" s="24"/>
      <c r="F36" s="53"/>
      <c r="G36" s="54"/>
      <c r="H36" s="54"/>
      <c r="I36" s="54"/>
      <c r="J36" s="55" t="str">
        <f t="shared" si="0"/>
        <v/>
      </c>
      <c r="K36" s="55" t="str">
        <f t="shared" si="1"/>
        <v/>
      </c>
      <c r="L36" s="47"/>
      <c r="M36" s="47"/>
      <c r="N36" s="55" t="str">
        <f t="shared" si="2"/>
        <v/>
      </c>
      <c r="O36" s="55" t="str">
        <f t="shared" si="3"/>
        <v/>
      </c>
      <c r="P36" s="54"/>
      <c r="Q36" s="55" t="str">
        <f t="shared" si="4"/>
        <v/>
      </c>
      <c r="R36" s="56" t="str">
        <f t="shared" si="5"/>
        <v/>
      </c>
      <c r="S36" s="38" t="str">
        <f t="shared" si="6"/>
        <v/>
      </c>
      <c r="T36" s="37" t="str">
        <f t="shared" si="7"/>
        <v/>
      </c>
      <c r="U36" s="37" t="str">
        <f t="shared" si="8"/>
        <v/>
      </c>
      <c r="V36" s="24"/>
      <c r="W36" s="24"/>
      <c r="X36" s="24"/>
      <c r="Y36" s="36"/>
      <c r="Z36" s="55" t="str">
        <f t="shared" si="9"/>
        <v/>
      </c>
      <c r="AA36" s="55" t="str">
        <f t="shared" si="10"/>
        <v/>
      </c>
      <c r="AB36" s="37" t="str">
        <f t="shared" si="11"/>
        <v/>
      </c>
    </row>
    <row r="37" spans="1:28" x14ac:dyDescent="0.35">
      <c r="A37" s="35"/>
      <c r="B37" s="24"/>
      <c r="C37" s="35"/>
      <c r="D37" s="38" t="str">
        <f>IF(C37="","",IFERROR(INDEX('Risk Register'!$D$6:$D$105,MATCH(C37,'Risk Register'!$A$6:$A$105,0)),""))</f>
        <v/>
      </c>
      <c r="E37" s="24"/>
      <c r="F37" s="53"/>
      <c r="G37" s="54"/>
      <c r="H37" s="54"/>
      <c r="I37" s="54"/>
      <c r="J37" s="55" t="str">
        <f t="shared" si="0"/>
        <v/>
      </c>
      <c r="K37" s="55" t="str">
        <f t="shared" si="1"/>
        <v/>
      </c>
      <c r="L37" s="47"/>
      <c r="M37" s="47"/>
      <c r="N37" s="55" t="str">
        <f t="shared" si="2"/>
        <v/>
      </c>
      <c r="O37" s="55" t="str">
        <f t="shared" si="3"/>
        <v/>
      </c>
      <c r="P37" s="54"/>
      <c r="Q37" s="55" t="str">
        <f t="shared" si="4"/>
        <v/>
      </c>
      <c r="R37" s="56" t="str">
        <f t="shared" si="5"/>
        <v/>
      </c>
      <c r="S37" s="38" t="str">
        <f t="shared" si="6"/>
        <v/>
      </c>
      <c r="T37" s="37" t="str">
        <f t="shared" si="7"/>
        <v/>
      </c>
      <c r="U37" s="37" t="str">
        <f t="shared" si="8"/>
        <v/>
      </c>
      <c r="V37" s="24"/>
      <c r="W37" s="24"/>
      <c r="X37" s="24"/>
      <c r="Y37" s="36"/>
      <c r="Z37" s="55" t="str">
        <f t="shared" si="9"/>
        <v/>
      </c>
      <c r="AA37" s="55" t="str">
        <f t="shared" si="10"/>
        <v/>
      </c>
      <c r="AB37" s="37" t="str">
        <f t="shared" si="11"/>
        <v/>
      </c>
    </row>
    <row r="38" spans="1:28" x14ac:dyDescent="0.35">
      <c r="A38" s="35"/>
      <c r="B38" s="24"/>
      <c r="C38" s="35"/>
      <c r="D38" s="38" t="str">
        <f>IF(C38="","",IFERROR(INDEX('Risk Register'!$D$6:$D$105,MATCH(C38,'Risk Register'!$A$6:$A$105,0)),""))</f>
        <v/>
      </c>
      <c r="E38" s="24"/>
      <c r="F38" s="53"/>
      <c r="G38" s="54"/>
      <c r="H38" s="54"/>
      <c r="I38" s="54"/>
      <c r="J38" s="55" t="str">
        <f t="shared" si="0"/>
        <v/>
      </c>
      <c r="K38" s="55" t="str">
        <f t="shared" si="1"/>
        <v/>
      </c>
      <c r="L38" s="47"/>
      <c r="M38" s="47"/>
      <c r="N38" s="55" t="str">
        <f t="shared" si="2"/>
        <v/>
      </c>
      <c r="O38" s="55" t="str">
        <f t="shared" si="3"/>
        <v/>
      </c>
      <c r="P38" s="54"/>
      <c r="Q38" s="55" t="str">
        <f t="shared" si="4"/>
        <v/>
      </c>
      <c r="R38" s="56" t="str">
        <f t="shared" si="5"/>
        <v/>
      </c>
      <c r="S38" s="38" t="str">
        <f t="shared" si="6"/>
        <v/>
      </c>
      <c r="T38" s="37" t="str">
        <f t="shared" si="7"/>
        <v/>
      </c>
      <c r="U38" s="37" t="str">
        <f t="shared" si="8"/>
        <v/>
      </c>
      <c r="V38" s="24"/>
      <c r="W38" s="24"/>
      <c r="X38" s="24"/>
      <c r="Y38" s="36"/>
      <c r="Z38" s="55" t="str">
        <f t="shared" si="9"/>
        <v/>
      </c>
      <c r="AA38" s="55" t="str">
        <f t="shared" si="10"/>
        <v/>
      </c>
      <c r="AB38" s="37" t="str">
        <f t="shared" si="11"/>
        <v/>
      </c>
    </row>
    <row r="39" spans="1:28" x14ac:dyDescent="0.35">
      <c r="A39" s="35"/>
      <c r="B39" s="24"/>
      <c r="C39" s="35"/>
      <c r="D39" s="38" t="str">
        <f>IF(C39="","",IFERROR(INDEX('Risk Register'!$D$6:$D$105,MATCH(C39,'Risk Register'!$A$6:$A$105,0)),""))</f>
        <v/>
      </c>
      <c r="E39" s="24"/>
      <c r="F39" s="53"/>
      <c r="G39" s="54"/>
      <c r="H39" s="54"/>
      <c r="I39" s="54"/>
      <c r="J39" s="55" t="str">
        <f t="shared" si="0"/>
        <v/>
      </c>
      <c r="K39" s="55" t="str">
        <f t="shared" si="1"/>
        <v/>
      </c>
      <c r="L39" s="47"/>
      <c r="M39" s="47"/>
      <c r="N39" s="55" t="str">
        <f t="shared" si="2"/>
        <v/>
      </c>
      <c r="O39" s="55" t="str">
        <f t="shared" si="3"/>
        <v/>
      </c>
      <c r="P39" s="54"/>
      <c r="Q39" s="55" t="str">
        <f t="shared" si="4"/>
        <v/>
      </c>
      <c r="R39" s="56" t="str">
        <f t="shared" si="5"/>
        <v/>
      </c>
      <c r="S39" s="38" t="str">
        <f t="shared" si="6"/>
        <v/>
      </c>
      <c r="T39" s="37" t="str">
        <f t="shared" si="7"/>
        <v/>
      </c>
      <c r="U39" s="37" t="str">
        <f t="shared" si="8"/>
        <v/>
      </c>
      <c r="V39" s="24"/>
      <c r="W39" s="24"/>
      <c r="X39" s="24"/>
      <c r="Y39" s="36"/>
      <c r="Z39" s="55" t="str">
        <f t="shared" si="9"/>
        <v/>
      </c>
      <c r="AA39" s="55" t="str">
        <f t="shared" si="10"/>
        <v/>
      </c>
      <c r="AB39" s="37" t="str">
        <f t="shared" si="11"/>
        <v/>
      </c>
    </row>
    <row r="40" spans="1:28" x14ac:dyDescent="0.35">
      <c r="A40" s="35"/>
      <c r="B40" s="24"/>
      <c r="C40" s="35"/>
      <c r="D40" s="38" t="str">
        <f>IF(C40="","",IFERROR(INDEX('Risk Register'!$D$6:$D$105,MATCH(C40,'Risk Register'!$A$6:$A$105,0)),""))</f>
        <v/>
      </c>
      <c r="E40" s="24"/>
      <c r="F40" s="53"/>
      <c r="G40" s="54"/>
      <c r="H40" s="54"/>
      <c r="I40" s="54"/>
      <c r="J40" s="55" t="str">
        <f t="shared" ref="J40:J57" si="12">IF(U40&lt;&gt;"OK","",(G40+4*H40+I40)/6)</f>
        <v/>
      </c>
      <c r="K40" s="55" t="str">
        <f t="shared" ref="K40:K57" si="13">IF(U40&lt;&gt;"OK","",F40*J40)</f>
        <v/>
      </c>
      <c r="L40" s="47"/>
      <c r="M40" s="47"/>
      <c r="N40" s="55" t="str">
        <f t="shared" ref="N40:N57" si="14">IF(U40&lt;&gt;"OK","",F40*(1-L40)*J40*(1-M40))</f>
        <v/>
      </c>
      <c r="O40" s="55" t="str">
        <f t="shared" ref="O40:O57" si="15">IF(U40&lt;&gt;"OK","",K40-N40)</f>
        <v/>
      </c>
      <c r="P40" s="54"/>
      <c r="Q40" s="55" t="str">
        <f t="shared" ref="Q40:Q57" si="16">IF(U40&lt;&gt;"OK","",O40-P40)</f>
        <v/>
      </c>
      <c r="R40" s="56" t="str">
        <f t="shared" ref="R40:R57" si="17">IF(OR(U40&lt;&gt;"OK",P40=0),"",O40/P40)</f>
        <v/>
      </c>
      <c r="S40" s="38" t="str">
        <f t="shared" ref="S40:S57" si="18">IF(A40="","",IF(U40&lt;&gt;"OK","Invalid scenario inputs",IF(OR(NOT(ISNUMBER($B$5)),$B$5&lt;0),"Set single-event tolerance",IF(I40&gt;$B$5,"Exceeds single-event tolerance","Within tolerance"))))</f>
        <v/>
      </c>
      <c r="T40" s="37" t="str">
        <f t="shared" ref="T40:T57" si="19">IF(K40="","",RANK(K40,$K$8:$K$57))</f>
        <v/>
      </c>
      <c r="U40" s="37" t="str">
        <f t="shared" ref="U40:U57" si="20">IF(A40="","",IF(OR(F40="",G40="",H40="",I40="",L40="",M40="",P40=""),"Missing inputs",IF(OR(NOT(ISNUMBER(F40)),NOT(ISNUMBER(G40)),NOT(ISNUMBER(H40)),NOT(ISNUMBER(I40)),NOT(ISNUMBER(L40)),NOT(ISNUMBER(M40)),NOT(ISNUMBER(P40))),"Invalid inputs",IF(OR(F40&lt;0,G40&lt;0,H40&lt;0,I40&lt;0,L40&lt;0,L40&gt;1,M40&lt;0,M40&gt;1,P40&lt;0),"Invalid inputs",IF(AND(G40&lt;=H40,H40&lt;=I40),"OK","Check: min &lt;= most likely &lt;= severe")))))</f>
        <v/>
      </c>
      <c r="V40" s="24"/>
      <c r="W40" s="24"/>
      <c r="X40" s="24"/>
      <c r="Y40" s="36"/>
      <c r="Z40" s="55" t="str">
        <f t="shared" ref="Z40:Z57" si="21">IF(U40&lt;&gt;"OK","",F40*G40)</f>
        <v/>
      </c>
      <c r="AA40" s="55" t="str">
        <f t="shared" ref="AA40:AA57" si="22">IF(U40&lt;&gt;"OK","",F40*I40)</f>
        <v/>
      </c>
      <c r="AB40" s="37" t="str">
        <f t="shared" ref="AB40:AB57" si="23">IF(A40="","",IF(OR(V40="",W40="",Y40="",AND(OR(L40&gt;0,M40&gt;0),X40="")),"Basis or confidence missing","Documented"))</f>
        <v/>
      </c>
    </row>
    <row r="41" spans="1:28" x14ac:dyDescent="0.35">
      <c r="A41" s="35"/>
      <c r="B41" s="24"/>
      <c r="C41" s="35"/>
      <c r="D41" s="38" t="str">
        <f>IF(C41="","",IFERROR(INDEX('Risk Register'!$D$6:$D$105,MATCH(C41,'Risk Register'!$A$6:$A$105,0)),""))</f>
        <v/>
      </c>
      <c r="E41" s="24"/>
      <c r="F41" s="53"/>
      <c r="G41" s="54"/>
      <c r="H41" s="54"/>
      <c r="I41" s="54"/>
      <c r="J41" s="55" t="str">
        <f t="shared" si="12"/>
        <v/>
      </c>
      <c r="K41" s="55" t="str">
        <f t="shared" si="13"/>
        <v/>
      </c>
      <c r="L41" s="47"/>
      <c r="M41" s="47"/>
      <c r="N41" s="55" t="str">
        <f t="shared" si="14"/>
        <v/>
      </c>
      <c r="O41" s="55" t="str">
        <f t="shared" si="15"/>
        <v/>
      </c>
      <c r="P41" s="54"/>
      <c r="Q41" s="55" t="str">
        <f t="shared" si="16"/>
        <v/>
      </c>
      <c r="R41" s="56" t="str">
        <f t="shared" si="17"/>
        <v/>
      </c>
      <c r="S41" s="38" t="str">
        <f t="shared" si="18"/>
        <v/>
      </c>
      <c r="T41" s="37" t="str">
        <f t="shared" si="19"/>
        <v/>
      </c>
      <c r="U41" s="37" t="str">
        <f t="shared" si="20"/>
        <v/>
      </c>
      <c r="V41" s="24"/>
      <c r="W41" s="24"/>
      <c r="X41" s="24"/>
      <c r="Y41" s="36"/>
      <c r="Z41" s="55" t="str">
        <f t="shared" si="21"/>
        <v/>
      </c>
      <c r="AA41" s="55" t="str">
        <f t="shared" si="22"/>
        <v/>
      </c>
      <c r="AB41" s="37" t="str">
        <f t="shared" si="23"/>
        <v/>
      </c>
    </row>
    <row r="42" spans="1:28" x14ac:dyDescent="0.35">
      <c r="A42" s="35"/>
      <c r="B42" s="24"/>
      <c r="C42" s="35"/>
      <c r="D42" s="38" t="str">
        <f>IF(C42="","",IFERROR(INDEX('Risk Register'!$D$6:$D$105,MATCH(C42,'Risk Register'!$A$6:$A$105,0)),""))</f>
        <v/>
      </c>
      <c r="E42" s="24"/>
      <c r="F42" s="53"/>
      <c r="G42" s="54"/>
      <c r="H42" s="54"/>
      <c r="I42" s="54"/>
      <c r="J42" s="55" t="str">
        <f t="shared" si="12"/>
        <v/>
      </c>
      <c r="K42" s="55" t="str">
        <f t="shared" si="13"/>
        <v/>
      </c>
      <c r="L42" s="47"/>
      <c r="M42" s="47"/>
      <c r="N42" s="55" t="str">
        <f t="shared" si="14"/>
        <v/>
      </c>
      <c r="O42" s="55" t="str">
        <f t="shared" si="15"/>
        <v/>
      </c>
      <c r="P42" s="54"/>
      <c r="Q42" s="55" t="str">
        <f t="shared" si="16"/>
        <v/>
      </c>
      <c r="R42" s="56" t="str">
        <f t="shared" si="17"/>
        <v/>
      </c>
      <c r="S42" s="38" t="str">
        <f t="shared" si="18"/>
        <v/>
      </c>
      <c r="T42" s="37" t="str">
        <f t="shared" si="19"/>
        <v/>
      </c>
      <c r="U42" s="37" t="str">
        <f t="shared" si="20"/>
        <v/>
      </c>
      <c r="V42" s="24"/>
      <c r="W42" s="24"/>
      <c r="X42" s="24"/>
      <c r="Y42" s="36"/>
      <c r="Z42" s="55" t="str">
        <f t="shared" si="21"/>
        <v/>
      </c>
      <c r="AA42" s="55" t="str">
        <f t="shared" si="22"/>
        <v/>
      </c>
      <c r="AB42" s="37" t="str">
        <f t="shared" si="23"/>
        <v/>
      </c>
    </row>
    <row r="43" spans="1:28" x14ac:dyDescent="0.35">
      <c r="A43" s="35"/>
      <c r="B43" s="24"/>
      <c r="C43" s="35"/>
      <c r="D43" s="38" t="str">
        <f>IF(C43="","",IFERROR(INDEX('Risk Register'!$D$6:$D$105,MATCH(C43,'Risk Register'!$A$6:$A$105,0)),""))</f>
        <v/>
      </c>
      <c r="E43" s="24"/>
      <c r="F43" s="53"/>
      <c r="G43" s="54"/>
      <c r="H43" s="54"/>
      <c r="I43" s="54"/>
      <c r="J43" s="55" t="str">
        <f t="shared" si="12"/>
        <v/>
      </c>
      <c r="K43" s="55" t="str">
        <f t="shared" si="13"/>
        <v/>
      </c>
      <c r="L43" s="47"/>
      <c r="M43" s="47"/>
      <c r="N43" s="55" t="str">
        <f t="shared" si="14"/>
        <v/>
      </c>
      <c r="O43" s="55" t="str">
        <f t="shared" si="15"/>
        <v/>
      </c>
      <c r="P43" s="54"/>
      <c r="Q43" s="55" t="str">
        <f t="shared" si="16"/>
        <v/>
      </c>
      <c r="R43" s="56" t="str">
        <f t="shared" si="17"/>
        <v/>
      </c>
      <c r="S43" s="38" t="str">
        <f t="shared" si="18"/>
        <v/>
      </c>
      <c r="T43" s="37" t="str">
        <f t="shared" si="19"/>
        <v/>
      </c>
      <c r="U43" s="37" t="str">
        <f t="shared" si="20"/>
        <v/>
      </c>
      <c r="V43" s="24"/>
      <c r="W43" s="24"/>
      <c r="X43" s="24"/>
      <c r="Y43" s="36"/>
      <c r="Z43" s="55" t="str">
        <f t="shared" si="21"/>
        <v/>
      </c>
      <c r="AA43" s="55" t="str">
        <f t="shared" si="22"/>
        <v/>
      </c>
      <c r="AB43" s="37" t="str">
        <f t="shared" si="23"/>
        <v/>
      </c>
    </row>
    <row r="44" spans="1:28" x14ac:dyDescent="0.35">
      <c r="A44" s="35"/>
      <c r="B44" s="24"/>
      <c r="C44" s="35"/>
      <c r="D44" s="38" t="str">
        <f>IF(C44="","",IFERROR(INDEX('Risk Register'!$D$6:$D$105,MATCH(C44,'Risk Register'!$A$6:$A$105,0)),""))</f>
        <v/>
      </c>
      <c r="E44" s="24"/>
      <c r="F44" s="53"/>
      <c r="G44" s="54"/>
      <c r="H44" s="54"/>
      <c r="I44" s="54"/>
      <c r="J44" s="55" t="str">
        <f t="shared" si="12"/>
        <v/>
      </c>
      <c r="K44" s="55" t="str">
        <f t="shared" si="13"/>
        <v/>
      </c>
      <c r="L44" s="47"/>
      <c r="M44" s="47"/>
      <c r="N44" s="55" t="str">
        <f t="shared" si="14"/>
        <v/>
      </c>
      <c r="O44" s="55" t="str">
        <f t="shared" si="15"/>
        <v/>
      </c>
      <c r="P44" s="54"/>
      <c r="Q44" s="55" t="str">
        <f t="shared" si="16"/>
        <v/>
      </c>
      <c r="R44" s="56" t="str">
        <f t="shared" si="17"/>
        <v/>
      </c>
      <c r="S44" s="38" t="str">
        <f t="shared" si="18"/>
        <v/>
      </c>
      <c r="T44" s="37" t="str">
        <f t="shared" si="19"/>
        <v/>
      </c>
      <c r="U44" s="37" t="str">
        <f t="shared" si="20"/>
        <v/>
      </c>
      <c r="V44" s="24"/>
      <c r="W44" s="24"/>
      <c r="X44" s="24"/>
      <c r="Y44" s="36"/>
      <c r="Z44" s="55" t="str">
        <f t="shared" si="21"/>
        <v/>
      </c>
      <c r="AA44" s="55" t="str">
        <f t="shared" si="22"/>
        <v/>
      </c>
      <c r="AB44" s="37" t="str">
        <f t="shared" si="23"/>
        <v/>
      </c>
    </row>
    <row r="45" spans="1:28" x14ac:dyDescent="0.35">
      <c r="A45" s="35"/>
      <c r="B45" s="24"/>
      <c r="C45" s="35"/>
      <c r="D45" s="38" t="str">
        <f>IF(C45="","",IFERROR(INDEX('Risk Register'!$D$6:$D$105,MATCH(C45,'Risk Register'!$A$6:$A$105,0)),""))</f>
        <v/>
      </c>
      <c r="E45" s="24"/>
      <c r="F45" s="53"/>
      <c r="G45" s="54"/>
      <c r="H45" s="54"/>
      <c r="I45" s="54"/>
      <c r="J45" s="55" t="str">
        <f t="shared" si="12"/>
        <v/>
      </c>
      <c r="K45" s="55" t="str">
        <f t="shared" si="13"/>
        <v/>
      </c>
      <c r="L45" s="47"/>
      <c r="M45" s="47"/>
      <c r="N45" s="55" t="str">
        <f t="shared" si="14"/>
        <v/>
      </c>
      <c r="O45" s="55" t="str">
        <f t="shared" si="15"/>
        <v/>
      </c>
      <c r="P45" s="54"/>
      <c r="Q45" s="55" t="str">
        <f t="shared" si="16"/>
        <v/>
      </c>
      <c r="R45" s="56" t="str">
        <f t="shared" si="17"/>
        <v/>
      </c>
      <c r="S45" s="38" t="str">
        <f t="shared" si="18"/>
        <v/>
      </c>
      <c r="T45" s="37" t="str">
        <f t="shared" si="19"/>
        <v/>
      </c>
      <c r="U45" s="37" t="str">
        <f t="shared" si="20"/>
        <v/>
      </c>
      <c r="V45" s="24"/>
      <c r="W45" s="24"/>
      <c r="X45" s="24"/>
      <c r="Y45" s="36"/>
      <c r="Z45" s="55" t="str">
        <f t="shared" si="21"/>
        <v/>
      </c>
      <c r="AA45" s="55" t="str">
        <f t="shared" si="22"/>
        <v/>
      </c>
      <c r="AB45" s="37" t="str">
        <f t="shared" si="23"/>
        <v/>
      </c>
    </row>
    <row r="46" spans="1:28" x14ac:dyDescent="0.35">
      <c r="A46" s="35"/>
      <c r="B46" s="24"/>
      <c r="C46" s="35"/>
      <c r="D46" s="38" t="str">
        <f>IF(C46="","",IFERROR(INDEX('Risk Register'!$D$6:$D$105,MATCH(C46,'Risk Register'!$A$6:$A$105,0)),""))</f>
        <v/>
      </c>
      <c r="E46" s="24"/>
      <c r="F46" s="53"/>
      <c r="G46" s="54"/>
      <c r="H46" s="54"/>
      <c r="I46" s="54"/>
      <c r="J46" s="55" t="str">
        <f t="shared" si="12"/>
        <v/>
      </c>
      <c r="K46" s="55" t="str">
        <f t="shared" si="13"/>
        <v/>
      </c>
      <c r="L46" s="47"/>
      <c r="M46" s="47"/>
      <c r="N46" s="55" t="str">
        <f t="shared" si="14"/>
        <v/>
      </c>
      <c r="O46" s="55" t="str">
        <f t="shared" si="15"/>
        <v/>
      </c>
      <c r="P46" s="54"/>
      <c r="Q46" s="55" t="str">
        <f t="shared" si="16"/>
        <v/>
      </c>
      <c r="R46" s="56" t="str">
        <f t="shared" si="17"/>
        <v/>
      </c>
      <c r="S46" s="38" t="str">
        <f t="shared" si="18"/>
        <v/>
      </c>
      <c r="T46" s="37" t="str">
        <f t="shared" si="19"/>
        <v/>
      </c>
      <c r="U46" s="37" t="str">
        <f t="shared" si="20"/>
        <v/>
      </c>
      <c r="V46" s="24"/>
      <c r="W46" s="24"/>
      <c r="X46" s="24"/>
      <c r="Y46" s="36"/>
      <c r="Z46" s="55" t="str">
        <f t="shared" si="21"/>
        <v/>
      </c>
      <c r="AA46" s="55" t="str">
        <f t="shared" si="22"/>
        <v/>
      </c>
      <c r="AB46" s="37" t="str">
        <f t="shared" si="23"/>
        <v/>
      </c>
    </row>
    <row r="47" spans="1:28" x14ac:dyDescent="0.35">
      <c r="A47" s="35"/>
      <c r="B47" s="24"/>
      <c r="C47" s="35"/>
      <c r="D47" s="38" t="str">
        <f>IF(C47="","",IFERROR(INDEX('Risk Register'!$D$6:$D$105,MATCH(C47,'Risk Register'!$A$6:$A$105,0)),""))</f>
        <v/>
      </c>
      <c r="E47" s="24"/>
      <c r="F47" s="53"/>
      <c r="G47" s="54"/>
      <c r="H47" s="54"/>
      <c r="I47" s="54"/>
      <c r="J47" s="55" t="str">
        <f t="shared" si="12"/>
        <v/>
      </c>
      <c r="K47" s="55" t="str">
        <f t="shared" si="13"/>
        <v/>
      </c>
      <c r="L47" s="47"/>
      <c r="M47" s="47"/>
      <c r="N47" s="55" t="str">
        <f t="shared" si="14"/>
        <v/>
      </c>
      <c r="O47" s="55" t="str">
        <f t="shared" si="15"/>
        <v/>
      </c>
      <c r="P47" s="54"/>
      <c r="Q47" s="55" t="str">
        <f t="shared" si="16"/>
        <v/>
      </c>
      <c r="R47" s="56" t="str">
        <f t="shared" si="17"/>
        <v/>
      </c>
      <c r="S47" s="38" t="str">
        <f t="shared" si="18"/>
        <v/>
      </c>
      <c r="T47" s="37" t="str">
        <f t="shared" si="19"/>
        <v/>
      </c>
      <c r="U47" s="37" t="str">
        <f t="shared" si="20"/>
        <v/>
      </c>
      <c r="V47" s="24"/>
      <c r="W47" s="24"/>
      <c r="X47" s="24"/>
      <c r="Y47" s="36"/>
      <c r="Z47" s="55" t="str">
        <f t="shared" si="21"/>
        <v/>
      </c>
      <c r="AA47" s="55" t="str">
        <f t="shared" si="22"/>
        <v/>
      </c>
      <c r="AB47" s="37" t="str">
        <f t="shared" si="23"/>
        <v/>
      </c>
    </row>
    <row r="48" spans="1:28" x14ac:dyDescent="0.35">
      <c r="A48" s="35"/>
      <c r="B48" s="24"/>
      <c r="C48" s="35"/>
      <c r="D48" s="38" t="str">
        <f>IF(C48="","",IFERROR(INDEX('Risk Register'!$D$6:$D$105,MATCH(C48,'Risk Register'!$A$6:$A$105,0)),""))</f>
        <v/>
      </c>
      <c r="E48" s="24"/>
      <c r="F48" s="53"/>
      <c r="G48" s="54"/>
      <c r="H48" s="54"/>
      <c r="I48" s="54"/>
      <c r="J48" s="55" t="str">
        <f t="shared" si="12"/>
        <v/>
      </c>
      <c r="K48" s="55" t="str">
        <f t="shared" si="13"/>
        <v/>
      </c>
      <c r="L48" s="47"/>
      <c r="M48" s="47"/>
      <c r="N48" s="55" t="str">
        <f t="shared" si="14"/>
        <v/>
      </c>
      <c r="O48" s="55" t="str">
        <f t="shared" si="15"/>
        <v/>
      </c>
      <c r="P48" s="54"/>
      <c r="Q48" s="55" t="str">
        <f t="shared" si="16"/>
        <v/>
      </c>
      <c r="R48" s="56" t="str">
        <f t="shared" si="17"/>
        <v/>
      </c>
      <c r="S48" s="38" t="str">
        <f t="shared" si="18"/>
        <v/>
      </c>
      <c r="T48" s="37" t="str">
        <f t="shared" si="19"/>
        <v/>
      </c>
      <c r="U48" s="37" t="str">
        <f t="shared" si="20"/>
        <v/>
      </c>
      <c r="V48" s="24"/>
      <c r="W48" s="24"/>
      <c r="X48" s="24"/>
      <c r="Y48" s="36"/>
      <c r="Z48" s="55" t="str">
        <f t="shared" si="21"/>
        <v/>
      </c>
      <c r="AA48" s="55" t="str">
        <f t="shared" si="22"/>
        <v/>
      </c>
      <c r="AB48" s="37" t="str">
        <f t="shared" si="23"/>
        <v/>
      </c>
    </row>
    <row r="49" spans="1:28" x14ac:dyDescent="0.35">
      <c r="A49" s="35"/>
      <c r="B49" s="24"/>
      <c r="C49" s="35"/>
      <c r="D49" s="38" t="str">
        <f>IF(C49="","",IFERROR(INDEX('Risk Register'!$D$6:$D$105,MATCH(C49,'Risk Register'!$A$6:$A$105,0)),""))</f>
        <v/>
      </c>
      <c r="E49" s="24"/>
      <c r="F49" s="53"/>
      <c r="G49" s="54"/>
      <c r="H49" s="54"/>
      <c r="I49" s="54"/>
      <c r="J49" s="55" t="str">
        <f t="shared" si="12"/>
        <v/>
      </c>
      <c r="K49" s="55" t="str">
        <f t="shared" si="13"/>
        <v/>
      </c>
      <c r="L49" s="47"/>
      <c r="M49" s="47"/>
      <c r="N49" s="55" t="str">
        <f t="shared" si="14"/>
        <v/>
      </c>
      <c r="O49" s="55" t="str">
        <f t="shared" si="15"/>
        <v/>
      </c>
      <c r="P49" s="54"/>
      <c r="Q49" s="55" t="str">
        <f t="shared" si="16"/>
        <v/>
      </c>
      <c r="R49" s="56" t="str">
        <f t="shared" si="17"/>
        <v/>
      </c>
      <c r="S49" s="38" t="str">
        <f t="shared" si="18"/>
        <v/>
      </c>
      <c r="T49" s="37" t="str">
        <f t="shared" si="19"/>
        <v/>
      </c>
      <c r="U49" s="37" t="str">
        <f t="shared" si="20"/>
        <v/>
      </c>
      <c r="V49" s="24"/>
      <c r="W49" s="24"/>
      <c r="X49" s="24"/>
      <c r="Y49" s="36"/>
      <c r="Z49" s="55" t="str">
        <f t="shared" si="21"/>
        <v/>
      </c>
      <c r="AA49" s="55" t="str">
        <f t="shared" si="22"/>
        <v/>
      </c>
      <c r="AB49" s="37" t="str">
        <f t="shared" si="23"/>
        <v/>
      </c>
    </row>
    <row r="50" spans="1:28" x14ac:dyDescent="0.35">
      <c r="A50" s="35"/>
      <c r="B50" s="24"/>
      <c r="C50" s="35"/>
      <c r="D50" s="38" t="str">
        <f>IF(C50="","",IFERROR(INDEX('Risk Register'!$D$6:$D$105,MATCH(C50,'Risk Register'!$A$6:$A$105,0)),""))</f>
        <v/>
      </c>
      <c r="E50" s="24"/>
      <c r="F50" s="53"/>
      <c r="G50" s="54"/>
      <c r="H50" s="54"/>
      <c r="I50" s="54"/>
      <c r="J50" s="55" t="str">
        <f t="shared" si="12"/>
        <v/>
      </c>
      <c r="K50" s="55" t="str">
        <f t="shared" si="13"/>
        <v/>
      </c>
      <c r="L50" s="47"/>
      <c r="M50" s="47"/>
      <c r="N50" s="55" t="str">
        <f t="shared" si="14"/>
        <v/>
      </c>
      <c r="O50" s="55" t="str">
        <f t="shared" si="15"/>
        <v/>
      </c>
      <c r="P50" s="54"/>
      <c r="Q50" s="55" t="str">
        <f t="shared" si="16"/>
        <v/>
      </c>
      <c r="R50" s="56" t="str">
        <f t="shared" si="17"/>
        <v/>
      </c>
      <c r="S50" s="38" t="str">
        <f t="shared" si="18"/>
        <v/>
      </c>
      <c r="T50" s="37" t="str">
        <f t="shared" si="19"/>
        <v/>
      </c>
      <c r="U50" s="37" t="str">
        <f t="shared" si="20"/>
        <v/>
      </c>
      <c r="V50" s="24"/>
      <c r="W50" s="24"/>
      <c r="X50" s="24"/>
      <c r="Y50" s="36"/>
      <c r="Z50" s="55" t="str">
        <f t="shared" si="21"/>
        <v/>
      </c>
      <c r="AA50" s="55" t="str">
        <f t="shared" si="22"/>
        <v/>
      </c>
      <c r="AB50" s="37" t="str">
        <f t="shared" si="23"/>
        <v/>
      </c>
    </row>
    <row r="51" spans="1:28" x14ac:dyDescent="0.35">
      <c r="A51" s="35"/>
      <c r="B51" s="24"/>
      <c r="C51" s="35"/>
      <c r="D51" s="38" t="str">
        <f>IF(C51="","",IFERROR(INDEX('Risk Register'!$D$6:$D$105,MATCH(C51,'Risk Register'!$A$6:$A$105,0)),""))</f>
        <v/>
      </c>
      <c r="E51" s="24"/>
      <c r="F51" s="53"/>
      <c r="G51" s="54"/>
      <c r="H51" s="54"/>
      <c r="I51" s="54"/>
      <c r="J51" s="55" t="str">
        <f t="shared" si="12"/>
        <v/>
      </c>
      <c r="K51" s="55" t="str">
        <f t="shared" si="13"/>
        <v/>
      </c>
      <c r="L51" s="47"/>
      <c r="M51" s="47"/>
      <c r="N51" s="55" t="str">
        <f t="shared" si="14"/>
        <v/>
      </c>
      <c r="O51" s="55" t="str">
        <f t="shared" si="15"/>
        <v/>
      </c>
      <c r="P51" s="54"/>
      <c r="Q51" s="55" t="str">
        <f t="shared" si="16"/>
        <v/>
      </c>
      <c r="R51" s="56" t="str">
        <f t="shared" si="17"/>
        <v/>
      </c>
      <c r="S51" s="38" t="str">
        <f t="shared" si="18"/>
        <v/>
      </c>
      <c r="T51" s="37" t="str">
        <f t="shared" si="19"/>
        <v/>
      </c>
      <c r="U51" s="37" t="str">
        <f t="shared" si="20"/>
        <v/>
      </c>
      <c r="V51" s="24"/>
      <c r="W51" s="24"/>
      <c r="X51" s="24"/>
      <c r="Y51" s="36"/>
      <c r="Z51" s="55" t="str">
        <f t="shared" si="21"/>
        <v/>
      </c>
      <c r="AA51" s="55" t="str">
        <f t="shared" si="22"/>
        <v/>
      </c>
      <c r="AB51" s="37" t="str">
        <f t="shared" si="23"/>
        <v/>
      </c>
    </row>
    <row r="52" spans="1:28" x14ac:dyDescent="0.35">
      <c r="A52" s="35"/>
      <c r="B52" s="24"/>
      <c r="C52" s="35"/>
      <c r="D52" s="38" t="str">
        <f>IF(C52="","",IFERROR(INDEX('Risk Register'!$D$6:$D$105,MATCH(C52,'Risk Register'!$A$6:$A$105,0)),""))</f>
        <v/>
      </c>
      <c r="E52" s="24"/>
      <c r="F52" s="53"/>
      <c r="G52" s="54"/>
      <c r="H52" s="54"/>
      <c r="I52" s="54"/>
      <c r="J52" s="55" t="str">
        <f t="shared" si="12"/>
        <v/>
      </c>
      <c r="K52" s="55" t="str">
        <f t="shared" si="13"/>
        <v/>
      </c>
      <c r="L52" s="47"/>
      <c r="M52" s="47"/>
      <c r="N52" s="55" t="str">
        <f t="shared" si="14"/>
        <v/>
      </c>
      <c r="O52" s="55" t="str">
        <f t="shared" si="15"/>
        <v/>
      </c>
      <c r="P52" s="54"/>
      <c r="Q52" s="55" t="str">
        <f t="shared" si="16"/>
        <v/>
      </c>
      <c r="R52" s="56" t="str">
        <f t="shared" si="17"/>
        <v/>
      </c>
      <c r="S52" s="38" t="str">
        <f t="shared" si="18"/>
        <v/>
      </c>
      <c r="T52" s="37" t="str">
        <f t="shared" si="19"/>
        <v/>
      </c>
      <c r="U52" s="37" t="str">
        <f t="shared" si="20"/>
        <v/>
      </c>
      <c r="V52" s="24"/>
      <c r="W52" s="24"/>
      <c r="X52" s="24"/>
      <c r="Y52" s="36"/>
      <c r="Z52" s="55" t="str">
        <f t="shared" si="21"/>
        <v/>
      </c>
      <c r="AA52" s="55" t="str">
        <f t="shared" si="22"/>
        <v/>
      </c>
      <c r="AB52" s="37" t="str">
        <f t="shared" si="23"/>
        <v/>
      </c>
    </row>
    <row r="53" spans="1:28" x14ac:dyDescent="0.35">
      <c r="A53" s="35"/>
      <c r="B53" s="24"/>
      <c r="C53" s="35"/>
      <c r="D53" s="38" t="str">
        <f>IF(C53="","",IFERROR(INDEX('Risk Register'!$D$6:$D$105,MATCH(C53,'Risk Register'!$A$6:$A$105,0)),""))</f>
        <v/>
      </c>
      <c r="E53" s="24"/>
      <c r="F53" s="53"/>
      <c r="G53" s="54"/>
      <c r="H53" s="54"/>
      <c r="I53" s="54"/>
      <c r="J53" s="55" t="str">
        <f t="shared" si="12"/>
        <v/>
      </c>
      <c r="K53" s="55" t="str">
        <f t="shared" si="13"/>
        <v/>
      </c>
      <c r="L53" s="47"/>
      <c r="M53" s="47"/>
      <c r="N53" s="55" t="str">
        <f t="shared" si="14"/>
        <v/>
      </c>
      <c r="O53" s="55" t="str">
        <f t="shared" si="15"/>
        <v/>
      </c>
      <c r="P53" s="54"/>
      <c r="Q53" s="55" t="str">
        <f t="shared" si="16"/>
        <v/>
      </c>
      <c r="R53" s="56" t="str">
        <f t="shared" si="17"/>
        <v/>
      </c>
      <c r="S53" s="38" t="str">
        <f t="shared" si="18"/>
        <v/>
      </c>
      <c r="T53" s="37" t="str">
        <f t="shared" si="19"/>
        <v/>
      </c>
      <c r="U53" s="37" t="str">
        <f t="shared" si="20"/>
        <v/>
      </c>
      <c r="V53" s="24"/>
      <c r="W53" s="24"/>
      <c r="X53" s="24"/>
      <c r="Y53" s="36"/>
      <c r="Z53" s="55" t="str">
        <f t="shared" si="21"/>
        <v/>
      </c>
      <c r="AA53" s="55" t="str">
        <f t="shared" si="22"/>
        <v/>
      </c>
      <c r="AB53" s="37" t="str">
        <f t="shared" si="23"/>
        <v/>
      </c>
    </row>
    <row r="54" spans="1:28" x14ac:dyDescent="0.35">
      <c r="A54" s="35"/>
      <c r="B54" s="24"/>
      <c r="C54" s="35"/>
      <c r="D54" s="38" t="str">
        <f>IF(C54="","",IFERROR(INDEX('Risk Register'!$D$6:$D$105,MATCH(C54,'Risk Register'!$A$6:$A$105,0)),""))</f>
        <v/>
      </c>
      <c r="E54" s="24"/>
      <c r="F54" s="53"/>
      <c r="G54" s="54"/>
      <c r="H54" s="54"/>
      <c r="I54" s="54"/>
      <c r="J54" s="55" t="str">
        <f t="shared" si="12"/>
        <v/>
      </c>
      <c r="K54" s="55" t="str">
        <f t="shared" si="13"/>
        <v/>
      </c>
      <c r="L54" s="47"/>
      <c r="M54" s="47"/>
      <c r="N54" s="55" t="str">
        <f t="shared" si="14"/>
        <v/>
      </c>
      <c r="O54" s="55" t="str">
        <f t="shared" si="15"/>
        <v/>
      </c>
      <c r="P54" s="54"/>
      <c r="Q54" s="55" t="str">
        <f t="shared" si="16"/>
        <v/>
      </c>
      <c r="R54" s="56" t="str">
        <f t="shared" si="17"/>
        <v/>
      </c>
      <c r="S54" s="38" t="str">
        <f t="shared" si="18"/>
        <v/>
      </c>
      <c r="T54" s="37" t="str">
        <f t="shared" si="19"/>
        <v/>
      </c>
      <c r="U54" s="37" t="str">
        <f t="shared" si="20"/>
        <v/>
      </c>
      <c r="V54" s="24"/>
      <c r="W54" s="24"/>
      <c r="X54" s="24"/>
      <c r="Y54" s="36"/>
      <c r="Z54" s="55" t="str">
        <f t="shared" si="21"/>
        <v/>
      </c>
      <c r="AA54" s="55" t="str">
        <f t="shared" si="22"/>
        <v/>
      </c>
      <c r="AB54" s="37" t="str">
        <f t="shared" si="23"/>
        <v/>
      </c>
    </row>
    <row r="55" spans="1:28" x14ac:dyDescent="0.35">
      <c r="A55" s="35"/>
      <c r="B55" s="24"/>
      <c r="C55" s="35"/>
      <c r="D55" s="38" t="str">
        <f>IF(C55="","",IFERROR(INDEX('Risk Register'!$D$6:$D$105,MATCH(C55,'Risk Register'!$A$6:$A$105,0)),""))</f>
        <v/>
      </c>
      <c r="E55" s="24"/>
      <c r="F55" s="53"/>
      <c r="G55" s="54"/>
      <c r="H55" s="54"/>
      <c r="I55" s="54"/>
      <c r="J55" s="55" t="str">
        <f t="shared" si="12"/>
        <v/>
      </c>
      <c r="K55" s="55" t="str">
        <f t="shared" si="13"/>
        <v/>
      </c>
      <c r="L55" s="47"/>
      <c r="M55" s="47"/>
      <c r="N55" s="55" t="str">
        <f t="shared" si="14"/>
        <v/>
      </c>
      <c r="O55" s="55" t="str">
        <f t="shared" si="15"/>
        <v/>
      </c>
      <c r="P55" s="54"/>
      <c r="Q55" s="55" t="str">
        <f t="shared" si="16"/>
        <v/>
      </c>
      <c r="R55" s="56" t="str">
        <f t="shared" si="17"/>
        <v/>
      </c>
      <c r="S55" s="38" t="str">
        <f t="shared" si="18"/>
        <v/>
      </c>
      <c r="T55" s="37" t="str">
        <f t="shared" si="19"/>
        <v/>
      </c>
      <c r="U55" s="37" t="str">
        <f t="shared" si="20"/>
        <v/>
      </c>
      <c r="V55" s="24"/>
      <c r="W55" s="24"/>
      <c r="X55" s="24"/>
      <c r="Y55" s="36"/>
      <c r="Z55" s="55" t="str">
        <f t="shared" si="21"/>
        <v/>
      </c>
      <c r="AA55" s="55" t="str">
        <f t="shared" si="22"/>
        <v/>
      </c>
      <c r="AB55" s="37" t="str">
        <f t="shared" si="23"/>
        <v/>
      </c>
    </row>
    <row r="56" spans="1:28" x14ac:dyDescent="0.35">
      <c r="A56" s="35"/>
      <c r="B56" s="24"/>
      <c r="C56" s="35"/>
      <c r="D56" s="38" t="str">
        <f>IF(C56="","",IFERROR(INDEX('Risk Register'!$D$6:$D$105,MATCH(C56,'Risk Register'!$A$6:$A$105,0)),""))</f>
        <v/>
      </c>
      <c r="E56" s="24"/>
      <c r="F56" s="53"/>
      <c r="G56" s="54"/>
      <c r="H56" s="54"/>
      <c r="I56" s="54"/>
      <c r="J56" s="55" t="str">
        <f t="shared" si="12"/>
        <v/>
      </c>
      <c r="K56" s="55" t="str">
        <f t="shared" si="13"/>
        <v/>
      </c>
      <c r="L56" s="47"/>
      <c r="M56" s="47"/>
      <c r="N56" s="55" t="str">
        <f t="shared" si="14"/>
        <v/>
      </c>
      <c r="O56" s="55" t="str">
        <f t="shared" si="15"/>
        <v/>
      </c>
      <c r="P56" s="54"/>
      <c r="Q56" s="55" t="str">
        <f t="shared" si="16"/>
        <v/>
      </c>
      <c r="R56" s="56" t="str">
        <f t="shared" si="17"/>
        <v/>
      </c>
      <c r="S56" s="38" t="str">
        <f t="shared" si="18"/>
        <v/>
      </c>
      <c r="T56" s="37" t="str">
        <f t="shared" si="19"/>
        <v/>
      </c>
      <c r="U56" s="37" t="str">
        <f t="shared" si="20"/>
        <v/>
      </c>
      <c r="V56" s="24"/>
      <c r="W56" s="24"/>
      <c r="X56" s="24"/>
      <c r="Y56" s="36"/>
      <c r="Z56" s="55" t="str">
        <f t="shared" si="21"/>
        <v/>
      </c>
      <c r="AA56" s="55" t="str">
        <f t="shared" si="22"/>
        <v/>
      </c>
      <c r="AB56" s="37" t="str">
        <f t="shared" si="23"/>
        <v/>
      </c>
    </row>
    <row r="57" spans="1:28" x14ac:dyDescent="0.35">
      <c r="A57" s="35"/>
      <c r="B57" s="24"/>
      <c r="C57" s="35"/>
      <c r="D57" s="38" t="str">
        <f>IF(C57="","",IFERROR(INDEX('Risk Register'!$D$6:$D$105,MATCH(C57,'Risk Register'!$A$6:$A$105,0)),""))</f>
        <v/>
      </c>
      <c r="E57" s="24"/>
      <c r="F57" s="53"/>
      <c r="G57" s="54"/>
      <c r="H57" s="54"/>
      <c r="I57" s="54"/>
      <c r="J57" s="55" t="str">
        <f t="shared" si="12"/>
        <v/>
      </c>
      <c r="K57" s="55" t="str">
        <f t="shared" si="13"/>
        <v/>
      </c>
      <c r="L57" s="47"/>
      <c r="M57" s="47"/>
      <c r="N57" s="55" t="str">
        <f t="shared" si="14"/>
        <v/>
      </c>
      <c r="O57" s="55" t="str">
        <f t="shared" si="15"/>
        <v/>
      </c>
      <c r="P57" s="54"/>
      <c r="Q57" s="55" t="str">
        <f t="shared" si="16"/>
        <v/>
      </c>
      <c r="R57" s="56" t="str">
        <f t="shared" si="17"/>
        <v/>
      </c>
      <c r="S57" s="38" t="str">
        <f t="shared" si="18"/>
        <v/>
      </c>
      <c r="T57" s="37" t="str">
        <f t="shared" si="19"/>
        <v/>
      </c>
      <c r="U57" s="37" t="str">
        <f t="shared" si="20"/>
        <v/>
      </c>
      <c r="V57" s="24"/>
      <c r="W57" s="24"/>
      <c r="X57" s="24"/>
      <c r="Y57" s="36"/>
      <c r="Z57" s="55" t="str">
        <f t="shared" si="21"/>
        <v/>
      </c>
      <c r="AA57" s="55" t="str">
        <f t="shared" si="22"/>
        <v/>
      </c>
      <c r="AB57" s="37" t="str">
        <f t="shared" si="23"/>
        <v/>
      </c>
    </row>
    <row r="59" spans="1:28" x14ac:dyDescent="0.35">
      <c r="A59" s="57" t="s">
        <v>595</v>
      </c>
    </row>
    <row r="60" spans="1:28" x14ac:dyDescent="0.35">
      <c r="A60" s="58" t="s">
        <v>596</v>
      </c>
    </row>
    <row r="61" spans="1:28" x14ac:dyDescent="0.35">
      <c r="A61" s="58" t="s">
        <v>597</v>
      </c>
    </row>
    <row r="62" spans="1:28" x14ac:dyDescent="0.35">
      <c r="A62" s="58" t="s">
        <v>598</v>
      </c>
    </row>
    <row r="63" spans="1:28" x14ac:dyDescent="0.35">
      <c r="A63" s="58" t="s">
        <v>599</v>
      </c>
    </row>
    <row r="64" spans="1:28" x14ac:dyDescent="0.35">
      <c r="A64" s="58" t="s">
        <v>600</v>
      </c>
    </row>
    <row r="65" spans="1:1" x14ac:dyDescent="0.35">
      <c r="A65" s="58" t="s">
        <v>601</v>
      </c>
    </row>
  </sheetData>
  <conditionalFormatting sqref="Q8:Q57">
    <cfRule type="expression" dxfId="26" priority="4">
      <formula>AND(Q8&lt;&gt;"",Q8&lt;0)</formula>
    </cfRule>
  </conditionalFormatting>
  <conditionalFormatting sqref="S8:S57">
    <cfRule type="expression" dxfId="25" priority="2">
      <formula>LEFT(S8,7)="Exceeds"</formula>
    </cfRule>
  </conditionalFormatting>
  <conditionalFormatting sqref="U8:U57">
    <cfRule type="expression" dxfId="24" priority="3">
      <formula>AND(U8&lt;&gt;"",U8&lt;&gt;"OK")</formula>
    </cfRule>
  </conditionalFormatting>
  <conditionalFormatting sqref="AB8:AB57">
    <cfRule type="expression" dxfId="23" priority="5">
      <formula>AB8="Basis or confidence missing"</formula>
    </cfRule>
    <cfRule type="expression" dxfId="22" priority="6">
      <formula>AB8="Documented"</formula>
    </cfRule>
  </conditionalFormatting>
  <dataValidations count="1">
    <dataValidation type="list" allowBlank="1" showErrorMessage="1" sqref="Y8:Y57" xr:uid="{00000000-0002-0000-0C00-000001000000}">
      <formula1>"High,Medium,Low"</formula1>
      <formula2>0</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r:uid="{00000000-0002-0000-0C00-000000000000}">
          <x14:formula1>
            <xm:f>'Risk Register'!$A$6:$A$105</xm:f>
          </x14:formula1>
          <x14:formula2>
            <xm:f>0</xm:f>
          </x14:formula2>
          <xm:sqref>C8:C57</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548235"/>
  </sheetPr>
  <dimension ref="A1:J29"/>
  <sheetViews>
    <sheetView showGridLines="0" workbookViewId="0"/>
  </sheetViews>
  <sheetFormatPr defaultColWidth="8.6328125" defaultRowHeight="14.5" x14ac:dyDescent="0.35"/>
  <cols>
    <col min="1" max="1" width="38" customWidth="1"/>
    <col min="2" max="2" width="16" customWidth="1"/>
    <col min="3" max="3" width="10" customWidth="1"/>
    <col min="4" max="6" width="12" customWidth="1"/>
    <col min="7" max="7" width="10" customWidth="1"/>
    <col min="8" max="8" width="16" customWidth="1"/>
    <col min="9" max="9" width="20" customWidth="1"/>
    <col min="10" max="10" width="8" customWidth="1"/>
  </cols>
  <sheetData>
    <row r="1" spans="1:10" ht="20" x14ac:dyDescent="0.4">
      <c r="A1" s="2" t="s">
        <v>602</v>
      </c>
    </row>
    <row r="2" spans="1:10" x14ac:dyDescent="0.35">
      <c r="A2" s="1" t="s">
        <v>603</v>
      </c>
    </row>
    <row r="3" spans="1:10" x14ac:dyDescent="0.35">
      <c r="A3" s="49" t="s">
        <v>604</v>
      </c>
    </row>
    <row r="4" spans="1:10" ht="57.75" customHeight="1" x14ac:dyDescent="0.35">
      <c r="A4" s="20" t="s">
        <v>605</v>
      </c>
      <c r="B4" s="33">
        <v>3</v>
      </c>
      <c r="E4" s="59" t="s">
        <v>606</v>
      </c>
      <c r="F4" s="59" t="s">
        <v>607</v>
      </c>
      <c r="G4" s="59" t="s">
        <v>608</v>
      </c>
      <c r="H4" s="59" t="s">
        <v>609</v>
      </c>
    </row>
    <row r="5" spans="1:10" x14ac:dyDescent="0.35">
      <c r="A5" s="20" t="s">
        <v>610</v>
      </c>
      <c r="B5" s="60">
        <v>0.3</v>
      </c>
      <c r="E5" s="51">
        <f>SUM('Scenario Analysis'!$K$8:$K$57)</f>
        <v>478000</v>
      </c>
      <c r="F5" s="51">
        <f>SUM(H10:H29)</f>
        <v>740583.33333333326</v>
      </c>
      <c r="G5" s="61">
        <f>IF(E5=0,"",F5/E5)</f>
        <v>1.5493375174337516</v>
      </c>
      <c r="H5" s="52">
        <f>SUMPRODUCT(('Risk Register'!$A$6:$A$105&lt;&gt;"")*(COUNTIF('Aggregation Map'!$A$6:$A$205,'Risk Register'!$A$6:$A$105)&gt;=2))</f>
        <v>2</v>
      </c>
    </row>
    <row r="6" spans="1:10" x14ac:dyDescent="0.35">
      <c r="A6" s="20" t="s">
        <v>611</v>
      </c>
      <c r="B6" s="62">
        <f ca="1">SUM('Risk Register'!$O$6:$O$105)</f>
        <v>91</v>
      </c>
    </row>
    <row r="7" spans="1:10" x14ac:dyDescent="0.35">
      <c r="A7" s="1" t="s">
        <v>612</v>
      </c>
    </row>
    <row r="9" spans="1:10" ht="43.5" customHeight="1" x14ac:dyDescent="0.35">
      <c r="A9" s="16" t="s">
        <v>613</v>
      </c>
      <c r="B9" s="16" t="s">
        <v>614</v>
      </c>
      <c r="C9" s="16" t="s">
        <v>615</v>
      </c>
      <c r="D9" s="16" t="s">
        <v>616</v>
      </c>
      <c r="E9" s="16" t="s">
        <v>617</v>
      </c>
      <c r="F9" s="16" t="s">
        <v>618</v>
      </c>
      <c r="G9" s="16" t="s">
        <v>619</v>
      </c>
      <c r="H9" s="16" t="s">
        <v>620</v>
      </c>
      <c r="I9" s="16" t="s">
        <v>621</v>
      </c>
      <c r="J9" s="16" t="s">
        <v>622</v>
      </c>
    </row>
    <row r="10" spans="1:10" x14ac:dyDescent="0.35">
      <c r="A10" s="35" t="s">
        <v>623</v>
      </c>
      <c r="B10" s="35" t="s">
        <v>624</v>
      </c>
      <c r="C10" s="37">
        <f>IF(A10="","",COUNTIF('Aggregation Map'!$B$6:$B$205,A10))</f>
        <v>3</v>
      </c>
      <c r="D10" s="37">
        <f ca="1">IF(A10="","",SUMIFS('Aggregation Map'!$E$6:$E$205,'Aggregation Map'!$B$6:$B$205,A10))</f>
        <v>39</v>
      </c>
      <c r="E10" s="63">
        <f t="shared" ref="E10:E29" ca="1" si="0">IF(OR(A10="",$B$6=0),"",D10/$B$6)</f>
        <v>0.42857142857142855</v>
      </c>
      <c r="F10" s="37">
        <f ca="1">IF(A10="","",_xlfn.MAXIFS('Aggregation Map'!$E$6:$E$205,'Aggregation Map'!$B$6:$B$205,A10))</f>
        <v>15</v>
      </c>
      <c r="G10" s="37">
        <f ca="1">IF(A10="","",COUNTIFS('Aggregation Map'!$B$6:$B$205,A10,'Aggregation Map'!$F$6:$F$205,"Yes"))</f>
        <v>3</v>
      </c>
      <c r="H10" s="64">
        <f>IF(A10="","",SUMIFS('Aggregation Map'!$G$6:$G$205,'Aggregation Map'!$B$6:$B$205,A10))</f>
        <v>324250</v>
      </c>
      <c r="I10" s="37" t="str">
        <f t="shared" ref="I10:I29" si="1">IF(A10="","",IF(C10&gt;=$B$4,"High concentration",IF(AND(E10&lt;&gt;"",E10&gt;=$B$5),"High concentration","")))</f>
        <v>High concentration</v>
      </c>
      <c r="J10" s="37">
        <f t="shared" ref="J10:J29" ca="1" si="2">IF(OR(A10="",D10=""),"",RANK(D10,$D$10:$D$29))</f>
        <v>1</v>
      </c>
    </row>
    <row r="11" spans="1:10" x14ac:dyDescent="0.35">
      <c r="A11" s="35" t="s">
        <v>625</v>
      </c>
      <c r="B11" s="35" t="s">
        <v>210</v>
      </c>
      <c r="C11" s="37">
        <f>IF(A11="","",COUNTIF('Aggregation Map'!$B$6:$B$205,A11))</f>
        <v>3</v>
      </c>
      <c r="D11" s="37">
        <f ca="1">IF(A11="","",SUMIFS('Aggregation Map'!$E$6:$E$205,'Aggregation Map'!$B$6:$B$205,A11))</f>
        <v>39</v>
      </c>
      <c r="E11" s="63">
        <f t="shared" ca="1" si="0"/>
        <v>0.42857142857142855</v>
      </c>
      <c r="F11" s="37">
        <f ca="1">IF(A11="","",_xlfn.MAXIFS('Aggregation Map'!$E$6:$E$205,'Aggregation Map'!$B$6:$B$205,A11))</f>
        <v>15</v>
      </c>
      <c r="G11" s="37">
        <f ca="1">IF(A11="","",COUNTIFS('Aggregation Map'!$B$6:$B$205,A11,'Aggregation Map'!$F$6:$F$205,"Yes"))</f>
        <v>2</v>
      </c>
      <c r="H11" s="64">
        <f>IF(A11="","",SUMIFS('Aggregation Map'!$G$6:$G$205,'Aggregation Map'!$B$6:$B$205,A11))</f>
        <v>262583.33333333331</v>
      </c>
      <c r="I11" s="37" t="str">
        <f t="shared" si="1"/>
        <v>High concentration</v>
      </c>
      <c r="J11" s="37">
        <f t="shared" ca="1" si="2"/>
        <v>1</v>
      </c>
    </row>
    <row r="12" spans="1:10" x14ac:dyDescent="0.35">
      <c r="A12" s="35" t="s">
        <v>626</v>
      </c>
      <c r="B12" s="35" t="s">
        <v>627</v>
      </c>
      <c r="C12" s="37">
        <f>IF(A12="","",COUNTIF('Aggregation Map'!$B$6:$B$205,A12))</f>
        <v>2</v>
      </c>
      <c r="D12" s="37">
        <f ca="1">IF(A12="","",SUMIFS('Aggregation Map'!$E$6:$E$205,'Aggregation Map'!$B$6:$B$205,A12))</f>
        <v>24</v>
      </c>
      <c r="E12" s="63">
        <f t="shared" ca="1" si="0"/>
        <v>0.26373626373626374</v>
      </c>
      <c r="F12" s="37">
        <f ca="1">IF(A12="","",_xlfn.MAXIFS('Aggregation Map'!$E$6:$E$205,'Aggregation Map'!$B$6:$B$205,A12))</f>
        <v>16</v>
      </c>
      <c r="G12" s="37">
        <f ca="1">IF(A12="","",COUNTIFS('Aggregation Map'!$B$6:$B$205,A12,'Aggregation Map'!$F$6:$F$205,"Yes"))</f>
        <v>2</v>
      </c>
      <c r="H12" s="64">
        <f>IF(A12="","",SUMIFS('Aggregation Map'!$G$6:$G$205,'Aggregation Map'!$B$6:$B$205,A12))</f>
        <v>153750</v>
      </c>
      <c r="I12" s="37" t="str">
        <f t="shared" ca="1" si="1"/>
        <v/>
      </c>
      <c r="J12" s="37">
        <f t="shared" ca="1" si="2"/>
        <v>3</v>
      </c>
    </row>
    <row r="13" spans="1:10" x14ac:dyDescent="0.35">
      <c r="A13" s="35" t="s">
        <v>628</v>
      </c>
      <c r="B13" s="35" t="s">
        <v>629</v>
      </c>
      <c r="C13" s="37">
        <f>IF(A13="","",COUNTIF('Aggregation Map'!$B$6:$B$205,A13))</f>
        <v>2</v>
      </c>
      <c r="D13" s="37">
        <f ca="1">IF(A13="","",SUMIFS('Aggregation Map'!$E$6:$E$205,'Aggregation Map'!$B$6:$B$205,A13))</f>
        <v>19</v>
      </c>
      <c r="E13" s="63">
        <f t="shared" ca="1" si="0"/>
        <v>0.2087912087912088</v>
      </c>
      <c r="F13" s="37">
        <f ca="1">IF(A13="","",_xlfn.MAXIFS('Aggregation Map'!$E$6:$E$205,'Aggregation Map'!$B$6:$B$205,A13))</f>
        <v>10</v>
      </c>
      <c r="G13" s="37">
        <f ca="1">IF(A13="","",COUNTIFS('Aggregation Map'!$B$6:$B$205,A13,'Aggregation Map'!$F$6:$F$205,"Yes"))</f>
        <v>0</v>
      </c>
      <c r="H13" s="64">
        <f>IF(A13="","",SUMIFS('Aggregation Map'!$G$6:$G$205,'Aggregation Map'!$B$6:$B$205,A13))</f>
        <v>0</v>
      </c>
      <c r="I13" s="37" t="str">
        <f t="shared" ca="1" si="1"/>
        <v/>
      </c>
      <c r="J13" s="37">
        <f t="shared" ca="1" si="2"/>
        <v>4</v>
      </c>
    </row>
    <row r="14" spans="1:10" x14ac:dyDescent="0.35">
      <c r="A14" s="35"/>
      <c r="B14" s="35"/>
      <c r="C14" s="37" t="str">
        <f>IF(A14="","",COUNTIF('Aggregation Map'!$B$6:$B$205,A14))</f>
        <v/>
      </c>
      <c r="D14" s="37" t="str">
        <f>IF(A14="","",SUMIFS('Aggregation Map'!$E$6:$E$205,'Aggregation Map'!$B$6:$B$205,A14))</f>
        <v/>
      </c>
      <c r="E14" s="63" t="str">
        <f t="shared" ca="1" si="0"/>
        <v/>
      </c>
      <c r="F14" s="37" t="str">
        <f>IF(A14="","",_xlfn.MAXIFS('Aggregation Map'!$E$6:$E$205,'Aggregation Map'!$B$6:$B$205,A14))</f>
        <v/>
      </c>
      <c r="G14" s="37" t="str">
        <f>IF(A14="","",COUNTIFS('Aggregation Map'!$B$6:$B$205,A14,'Aggregation Map'!$F$6:$F$205,"Yes"))</f>
        <v/>
      </c>
      <c r="H14" s="64" t="str">
        <f>IF(A14="","",SUMIFS('Aggregation Map'!$G$6:$G$205,'Aggregation Map'!$B$6:$B$205,A14))</f>
        <v/>
      </c>
      <c r="I14" s="37" t="str">
        <f t="shared" si="1"/>
        <v/>
      </c>
      <c r="J14" s="37" t="str">
        <f t="shared" si="2"/>
        <v/>
      </c>
    </row>
    <row r="15" spans="1:10" x14ac:dyDescent="0.35">
      <c r="A15" s="35"/>
      <c r="B15" s="35"/>
      <c r="C15" s="37" t="str">
        <f>IF(A15="","",COUNTIF('Aggregation Map'!$B$6:$B$205,A15))</f>
        <v/>
      </c>
      <c r="D15" s="37" t="str">
        <f>IF(A15="","",SUMIFS('Aggregation Map'!$E$6:$E$205,'Aggregation Map'!$B$6:$B$205,A15))</f>
        <v/>
      </c>
      <c r="E15" s="63" t="str">
        <f t="shared" ca="1" si="0"/>
        <v/>
      </c>
      <c r="F15" s="37" t="str">
        <f>IF(A15="","",_xlfn.MAXIFS('Aggregation Map'!$E$6:$E$205,'Aggregation Map'!$B$6:$B$205,A15))</f>
        <v/>
      </c>
      <c r="G15" s="37" t="str">
        <f>IF(A15="","",COUNTIFS('Aggregation Map'!$B$6:$B$205,A15,'Aggregation Map'!$F$6:$F$205,"Yes"))</f>
        <v/>
      </c>
      <c r="H15" s="64" t="str">
        <f>IF(A15="","",SUMIFS('Aggregation Map'!$G$6:$G$205,'Aggregation Map'!$B$6:$B$205,A15))</f>
        <v/>
      </c>
      <c r="I15" s="37" t="str">
        <f t="shared" si="1"/>
        <v/>
      </c>
      <c r="J15" s="37" t="str">
        <f t="shared" si="2"/>
        <v/>
      </c>
    </row>
    <row r="16" spans="1:10" x14ac:dyDescent="0.35">
      <c r="A16" s="35"/>
      <c r="B16" s="35"/>
      <c r="C16" s="37" t="str">
        <f>IF(A16="","",COUNTIF('Aggregation Map'!$B$6:$B$205,A16))</f>
        <v/>
      </c>
      <c r="D16" s="37" t="str">
        <f>IF(A16="","",SUMIFS('Aggregation Map'!$E$6:$E$205,'Aggregation Map'!$B$6:$B$205,A16))</f>
        <v/>
      </c>
      <c r="E16" s="63" t="str">
        <f t="shared" ca="1" si="0"/>
        <v/>
      </c>
      <c r="F16" s="37" t="str">
        <f>IF(A16="","",_xlfn.MAXIFS('Aggregation Map'!$E$6:$E$205,'Aggregation Map'!$B$6:$B$205,A16))</f>
        <v/>
      </c>
      <c r="G16" s="37" t="str">
        <f>IF(A16="","",COUNTIFS('Aggregation Map'!$B$6:$B$205,A16,'Aggregation Map'!$F$6:$F$205,"Yes"))</f>
        <v/>
      </c>
      <c r="H16" s="64" t="str">
        <f>IF(A16="","",SUMIFS('Aggregation Map'!$G$6:$G$205,'Aggregation Map'!$B$6:$B$205,A16))</f>
        <v/>
      </c>
      <c r="I16" s="37" t="str">
        <f t="shared" si="1"/>
        <v/>
      </c>
      <c r="J16" s="37" t="str">
        <f t="shared" si="2"/>
        <v/>
      </c>
    </row>
    <row r="17" spans="1:10" x14ac:dyDescent="0.35">
      <c r="A17" s="35"/>
      <c r="B17" s="35"/>
      <c r="C17" s="37" t="str">
        <f>IF(A17="","",COUNTIF('Aggregation Map'!$B$6:$B$205,A17))</f>
        <v/>
      </c>
      <c r="D17" s="37" t="str">
        <f>IF(A17="","",SUMIFS('Aggregation Map'!$E$6:$E$205,'Aggregation Map'!$B$6:$B$205,A17))</f>
        <v/>
      </c>
      <c r="E17" s="63" t="str">
        <f t="shared" ca="1" si="0"/>
        <v/>
      </c>
      <c r="F17" s="37" t="str">
        <f>IF(A17="","",_xlfn.MAXIFS('Aggregation Map'!$E$6:$E$205,'Aggregation Map'!$B$6:$B$205,A17))</f>
        <v/>
      </c>
      <c r="G17" s="37" t="str">
        <f>IF(A17="","",COUNTIFS('Aggregation Map'!$B$6:$B$205,A17,'Aggregation Map'!$F$6:$F$205,"Yes"))</f>
        <v/>
      </c>
      <c r="H17" s="64" t="str">
        <f>IF(A17="","",SUMIFS('Aggregation Map'!$G$6:$G$205,'Aggregation Map'!$B$6:$B$205,A17))</f>
        <v/>
      </c>
      <c r="I17" s="37" t="str">
        <f t="shared" si="1"/>
        <v/>
      </c>
      <c r="J17" s="37" t="str">
        <f t="shared" si="2"/>
        <v/>
      </c>
    </row>
    <row r="18" spans="1:10" x14ac:dyDescent="0.35">
      <c r="A18" s="35"/>
      <c r="B18" s="35"/>
      <c r="C18" s="37" t="str">
        <f>IF(A18="","",COUNTIF('Aggregation Map'!$B$6:$B$205,A18))</f>
        <v/>
      </c>
      <c r="D18" s="37" t="str">
        <f>IF(A18="","",SUMIFS('Aggregation Map'!$E$6:$E$205,'Aggregation Map'!$B$6:$B$205,A18))</f>
        <v/>
      </c>
      <c r="E18" s="63" t="str">
        <f t="shared" ca="1" si="0"/>
        <v/>
      </c>
      <c r="F18" s="37" t="str">
        <f>IF(A18="","",_xlfn.MAXIFS('Aggregation Map'!$E$6:$E$205,'Aggregation Map'!$B$6:$B$205,A18))</f>
        <v/>
      </c>
      <c r="G18" s="37" t="str">
        <f>IF(A18="","",COUNTIFS('Aggregation Map'!$B$6:$B$205,A18,'Aggregation Map'!$F$6:$F$205,"Yes"))</f>
        <v/>
      </c>
      <c r="H18" s="64" t="str">
        <f>IF(A18="","",SUMIFS('Aggregation Map'!$G$6:$G$205,'Aggregation Map'!$B$6:$B$205,A18))</f>
        <v/>
      </c>
      <c r="I18" s="37" t="str">
        <f t="shared" si="1"/>
        <v/>
      </c>
      <c r="J18" s="37" t="str">
        <f t="shared" si="2"/>
        <v/>
      </c>
    </row>
    <row r="19" spans="1:10" x14ac:dyDescent="0.35">
      <c r="A19" s="35"/>
      <c r="B19" s="35"/>
      <c r="C19" s="37" t="str">
        <f>IF(A19="","",COUNTIF('Aggregation Map'!$B$6:$B$205,A19))</f>
        <v/>
      </c>
      <c r="D19" s="37" t="str">
        <f>IF(A19="","",SUMIFS('Aggregation Map'!$E$6:$E$205,'Aggregation Map'!$B$6:$B$205,A19))</f>
        <v/>
      </c>
      <c r="E19" s="63" t="str">
        <f t="shared" ca="1" si="0"/>
        <v/>
      </c>
      <c r="F19" s="37" t="str">
        <f>IF(A19="","",_xlfn.MAXIFS('Aggregation Map'!$E$6:$E$205,'Aggregation Map'!$B$6:$B$205,A19))</f>
        <v/>
      </c>
      <c r="G19" s="37" t="str">
        <f>IF(A19="","",COUNTIFS('Aggregation Map'!$B$6:$B$205,A19,'Aggregation Map'!$F$6:$F$205,"Yes"))</f>
        <v/>
      </c>
      <c r="H19" s="64" t="str">
        <f>IF(A19="","",SUMIFS('Aggregation Map'!$G$6:$G$205,'Aggregation Map'!$B$6:$B$205,A19))</f>
        <v/>
      </c>
      <c r="I19" s="37" t="str">
        <f t="shared" si="1"/>
        <v/>
      </c>
      <c r="J19" s="37" t="str">
        <f t="shared" si="2"/>
        <v/>
      </c>
    </row>
    <row r="20" spans="1:10" x14ac:dyDescent="0.35">
      <c r="A20" s="35"/>
      <c r="B20" s="35"/>
      <c r="C20" s="37" t="str">
        <f>IF(A20="","",COUNTIF('Aggregation Map'!$B$6:$B$205,A20))</f>
        <v/>
      </c>
      <c r="D20" s="37" t="str">
        <f>IF(A20="","",SUMIFS('Aggregation Map'!$E$6:$E$205,'Aggregation Map'!$B$6:$B$205,A20))</f>
        <v/>
      </c>
      <c r="E20" s="63" t="str">
        <f t="shared" ca="1" si="0"/>
        <v/>
      </c>
      <c r="F20" s="37" t="str">
        <f>IF(A20="","",_xlfn.MAXIFS('Aggregation Map'!$E$6:$E$205,'Aggregation Map'!$B$6:$B$205,A20))</f>
        <v/>
      </c>
      <c r="G20" s="37" t="str">
        <f>IF(A20="","",COUNTIFS('Aggregation Map'!$B$6:$B$205,A20,'Aggregation Map'!$F$6:$F$205,"Yes"))</f>
        <v/>
      </c>
      <c r="H20" s="64" t="str">
        <f>IF(A20="","",SUMIFS('Aggregation Map'!$G$6:$G$205,'Aggregation Map'!$B$6:$B$205,A20))</f>
        <v/>
      </c>
      <c r="I20" s="37" t="str">
        <f t="shared" si="1"/>
        <v/>
      </c>
      <c r="J20" s="37" t="str">
        <f t="shared" si="2"/>
        <v/>
      </c>
    </row>
    <row r="21" spans="1:10" x14ac:dyDescent="0.35">
      <c r="A21" s="35"/>
      <c r="B21" s="35"/>
      <c r="C21" s="37" t="str">
        <f>IF(A21="","",COUNTIF('Aggregation Map'!$B$6:$B$205,A21))</f>
        <v/>
      </c>
      <c r="D21" s="37" t="str">
        <f>IF(A21="","",SUMIFS('Aggregation Map'!$E$6:$E$205,'Aggregation Map'!$B$6:$B$205,A21))</f>
        <v/>
      </c>
      <c r="E21" s="63" t="str">
        <f t="shared" ca="1" si="0"/>
        <v/>
      </c>
      <c r="F21" s="37" t="str">
        <f>IF(A21="","",_xlfn.MAXIFS('Aggregation Map'!$E$6:$E$205,'Aggregation Map'!$B$6:$B$205,A21))</f>
        <v/>
      </c>
      <c r="G21" s="37" t="str">
        <f>IF(A21="","",COUNTIFS('Aggregation Map'!$B$6:$B$205,A21,'Aggregation Map'!$F$6:$F$205,"Yes"))</f>
        <v/>
      </c>
      <c r="H21" s="64" t="str">
        <f>IF(A21="","",SUMIFS('Aggregation Map'!$G$6:$G$205,'Aggregation Map'!$B$6:$B$205,A21))</f>
        <v/>
      </c>
      <c r="I21" s="37" t="str">
        <f t="shared" si="1"/>
        <v/>
      </c>
      <c r="J21" s="37" t="str">
        <f t="shared" si="2"/>
        <v/>
      </c>
    </row>
    <row r="22" spans="1:10" x14ac:dyDescent="0.35">
      <c r="A22" s="35"/>
      <c r="B22" s="35"/>
      <c r="C22" s="37" t="str">
        <f>IF(A22="","",COUNTIF('Aggregation Map'!$B$6:$B$205,A22))</f>
        <v/>
      </c>
      <c r="D22" s="37" t="str">
        <f>IF(A22="","",SUMIFS('Aggregation Map'!$E$6:$E$205,'Aggregation Map'!$B$6:$B$205,A22))</f>
        <v/>
      </c>
      <c r="E22" s="63" t="str">
        <f t="shared" ca="1" si="0"/>
        <v/>
      </c>
      <c r="F22" s="37" t="str">
        <f>IF(A22="","",_xlfn.MAXIFS('Aggregation Map'!$E$6:$E$205,'Aggregation Map'!$B$6:$B$205,A22))</f>
        <v/>
      </c>
      <c r="G22" s="37" t="str">
        <f>IF(A22="","",COUNTIFS('Aggregation Map'!$B$6:$B$205,A22,'Aggregation Map'!$F$6:$F$205,"Yes"))</f>
        <v/>
      </c>
      <c r="H22" s="64" t="str">
        <f>IF(A22="","",SUMIFS('Aggregation Map'!$G$6:$G$205,'Aggregation Map'!$B$6:$B$205,A22))</f>
        <v/>
      </c>
      <c r="I22" s="37" t="str">
        <f t="shared" si="1"/>
        <v/>
      </c>
      <c r="J22" s="37" t="str">
        <f t="shared" si="2"/>
        <v/>
      </c>
    </row>
    <row r="23" spans="1:10" x14ac:dyDescent="0.35">
      <c r="A23" s="35"/>
      <c r="B23" s="35"/>
      <c r="C23" s="37" t="str">
        <f>IF(A23="","",COUNTIF('Aggregation Map'!$B$6:$B$205,A23))</f>
        <v/>
      </c>
      <c r="D23" s="37" t="str">
        <f>IF(A23="","",SUMIFS('Aggregation Map'!$E$6:$E$205,'Aggregation Map'!$B$6:$B$205,A23))</f>
        <v/>
      </c>
      <c r="E23" s="63" t="str">
        <f t="shared" ca="1" si="0"/>
        <v/>
      </c>
      <c r="F23" s="37" t="str">
        <f>IF(A23="","",_xlfn.MAXIFS('Aggregation Map'!$E$6:$E$205,'Aggregation Map'!$B$6:$B$205,A23))</f>
        <v/>
      </c>
      <c r="G23" s="37" t="str">
        <f>IF(A23="","",COUNTIFS('Aggregation Map'!$B$6:$B$205,A23,'Aggregation Map'!$F$6:$F$205,"Yes"))</f>
        <v/>
      </c>
      <c r="H23" s="64" t="str">
        <f>IF(A23="","",SUMIFS('Aggregation Map'!$G$6:$G$205,'Aggregation Map'!$B$6:$B$205,A23))</f>
        <v/>
      </c>
      <c r="I23" s="37" t="str">
        <f t="shared" si="1"/>
        <v/>
      </c>
      <c r="J23" s="37" t="str">
        <f t="shared" si="2"/>
        <v/>
      </c>
    </row>
    <row r="24" spans="1:10" x14ac:dyDescent="0.35">
      <c r="A24" s="35"/>
      <c r="B24" s="35"/>
      <c r="C24" s="37" t="str">
        <f>IF(A24="","",COUNTIF('Aggregation Map'!$B$6:$B$205,A24))</f>
        <v/>
      </c>
      <c r="D24" s="37" t="str">
        <f>IF(A24="","",SUMIFS('Aggregation Map'!$E$6:$E$205,'Aggregation Map'!$B$6:$B$205,A24))</f>
        <v/>
      </c>
      <c r="E24" s="63" t="str">
        <f t="shared" ca="1" si="0"/>
        <v/>
      </c>
      <c r="F24" s="37" t="str">
        <f>IF(A24="","",_xlfn.MAXIFS('Aggregation Map'!$E$6:$E$205,'Aggregation Map'!$B$6:$B$205,A24))</f>
        <v/>
      </c>
      <c r="G24" s="37" t="str">
        <f>IF(A24="","",COUNTIFS('Aggregation Map'!$B$6:$B$205,A24,'Aggregation Map'!$F$6:$F$205,"Yes"))</f>
        <v/>
      </c>
      <c r="H24" s="64" t="str">
        <f>IF(A24="","",SUMIFS('Aggregation Map'!$G$6:$G$205,'Aggregation Map'!$B$6:$B$205,A24))</f>
        <v/>
      </c>
      <c r="I24" s="37" t="str">
        <f t="shared" si="1"/>
        <v/>
      </c>
      <c r="J24" s="37" t="str">
        <f t="shared" si="2"/>
        <v/>
      </c>
    </row>
    <row r="25" spans="1:10" x14ac:dyDescent="0.35">
      <c r="A25" s="35"/>
      <c r="B25" s="35"/>
      <c r="C25" s="37" t="str">
        <f>IF(A25="","",COUNTIF('Aggregation Map'!$B$6:$B$205,A25))</f>
        <v/>
      </c>
      <c r="D25" s="37" t="str">
        <f>IF(A25="","",SUMIFS('Aggregation Map'!$E$6:$E$205,'Aggregation Map'!$B$6:$B$205,A25))</f>
        <v/>
      </c>
      <c r="E25" s="63" t="str">
        <f t="shared" ca="1" si="0"/>
        <v/>
      </c>
      <c r="F25" s="37" t="str">
        <f>IF(A25="","",_xlfn.MAXIFS('Aggregation Map'!$E$6:$E$205,'Aggregation Map'!$B$6:$B$205,A25))</f>
        <v/>
      </c>
      <c r="G25" s="37" t="str">
        <f>IF(A25="","",COUNTIFS('Aggregation Map'!$B$6:$B$205,A25,'Aggregation Map'!$F$6:$F$205,"Yes"))</f>
        <v/>
      </c>
      <c r="H25" s="64" t="str">
        <f>IF(A25="","",SUMIFS('Aggregation Map'!$G$6:$G$205,'Aggregation Map'!$B$6:$B$205,A25))</f>
        <v/>
      </c>
      <c r="I25" s="37" t="str">
        <f t="shared" si="1"/>
        <v/>
      </c>
      <c r="J25" s="37" t="str">
        <f t="shared" si="2"/>
        <v/>
      </c>
    </row>
    <row r="26" spans="1:10" x14ac:dyDescent="0.35">
      <c r="A26" s="35"/>
      <c r="B26" s="35"/>
      <c r="C26" s="37" t="str">
        <f>IF(A26="","",COUNTIF('Aggregation Map'!$B$6:$B$205,A26))</f>
        <v/>
      </c>
      <c r="D26" s="37" t="str">
        <f>IF(A26="","",SUMIFS('Aggregation Map'!$E$6:$E$205,'Aggregation Map'!$B$6:$B$205,A26))</f>
        <v/>
      </c>
      <c r="E26" s="63" t="str">
        <f t="shared" ca="1" si="0"/>
        <v/>
      </c>
      <c r="F26" s="37" t="str">
        <f>IF(A26="","",_xlfn.MAXIFS('Aggregation Map'!$E$6:$E$205,'Aggregation Map'!$B$6:$B$205,A26))</f>
        <v/>
      </c>
      <c r="G26" s="37" t="str">
        <f>IF(A26="","",COUNTIFS('Aggregation Map'!$B$6:$B$205,A26,'Aggregation Map'!$F$6:$F$205,"Yes"))</f>
        <v/>
      </c>
      <c r="H26" s="64" t="str">
        <f>IF(A26="","",SUMIFS('Aggregation Map'!$G$6:$G$205,'Aggregation Map'!$B$6:$B$205,A26))</f>
        <v/>
      </c>
      <c r="I26" s="37" t="str">
        <f t="shared" si="1"/>
        <v/>
      </c>
      <c r="J26" s="37" t="str">
        <f t="shared" si="2"/>
        <v/>
      </c>
    </row>
    <row r="27" spans="1:10" x14ac:dyDescent="0.35">
      <c r="A27" s="35"/>
      <c r="B27" s="35"/>
      <c r="C27" s="37" t="str">
        <f>IF(A27="","",COUNTIF('Aggregation Map'!$B$6:$B$205,A27))</f>
        <v/>
      </c>
      <c r="D27" s="37" t="str">
        <f>IF(A27="","",SUMIFS('Aggregation Map'!$E$6:$E$205,'Aggregation Map'!$B$6:$B$205,A27))</f>
        <v/>
      </c>
      <c r="E27" s="63" t="str">
        <f t="shared" ca="1" si="0"/>
        <v/>
      </c>
      <c r="F27" s="37" t="str">
        <f>IF(A27="","",_xlfn.MAXIFS('Aggregation Map'!$E$6:$E$205,'Aggregation Map'!$B$6:$B$205,A27))</f>
        <v/>
      </c>
      <c r="G27" s="37" t="str">
        <f>IF(A27="","",COUNTIFS('Aggregation Map'!$B$6:$B$205,A27,'Aggregation Map'!$F$6:$F$205,"Yes"))</f>
        <v/>
      </c>
      <c r="H27" s="64" t="str">
        <f>IF(A27="","",SUMIFS('Aggregation Map'!$G$6:$G$205,'Aggregation Map'!$B$6:$B$205,A27))</f>
        <v/>
      </c>
      <c r="I27" s="37" t="str">
        <f t="shared" si="1"/>
        <v/>
      </c>
      <c r="J27" s="37" t="str">
        <f t="shared" si="2"/>
        <v/>
      </c>
    </row>
    <row r="28" spans="1:10" x14ac:dyDescent="0.35">
      <c r="A28" s="35"/>
      <c r="B28" s="35"/>
      <c r="C28" s="37" t="str">
        <f>IF(A28="","",COUNTIF('Aggregation Map'!$B$6:$B$205,A28))</f>
        <v/>
      </c>
      <c r="D28" s="37" t="str">
        <f>IF(A28="","",SUMIFS('Aggregation Map'!$E$6:$E$205,'Aggregation Map'!$B$6:$B$205,A28))</f>
        <v/>
      </c>
      <c r="E28" s="63" t="str">
        <f t="shared" ca="1" si="0"/>
        <v/>
      </c>
      <c r="F28" s="37" t="str">
        <f>IF(A28="","",_xlfn.MAXIFS('Aggregation Map'!$E$6:$E$205,'Aggregation Map'!$B$6:$B$205,A28))</f>
        <v/>
      </c>
      <c r="G28" s="37" t="str">
        <f>IF(A28="","",COUNTIFS('Aggregation Map'!$B$6:$B$205,A28,'Aggregation Map'!$F$6:$F$205,"Yes"))</f>
        <v/>
      </c>
      <c r="H28" s="64" t="str">
        <f>IF(A28="","",SUMIFS('Aggregation Map'!$G$6:$G$205,'Aggregation Map'!$B$6:$B$205,A28))</f>
        <v/>
      </c>
      <c r="I28" s="37" t="str">
        <f t="shared" si="1"/>
        <v/>
      </c>
      <c r="J28" s="37" t="str">
        <f t="shared" si="2"/>
        <v/>
      </c>
    </row>
    <row r="29" spans="1:10" x14ac:dyDescent="0.35">
      <c r="A29" s="35"/>
      <c r="B29" s="35"/>
      <c r="C29" s="37" t="str">
        <f>IF(A29="","",COUNTIF('Aggregation Map'!$B$6:$B$205,A29))</f>
        <v/>
      </c>
      <c r="D29" s="37" t="str">
        <f>IF(A29="","",SUMIFS('Aggregation Map'!$E$6:$E$205,'Aggregation Map'!$B$6:$B$205,A29))</f>
        <v/>
      </c>
      <c r="E29" s="63" t="str">
        <f t="shared" ca="1" si="0"/>
        <v/>
      </c>
      <c r="F29" s="37" t="str">
        <f>IF(A29="","",_xlfn.MAXIFS('Aggregation Map'!$E$6:$E$205,'Aggregation Map'!$B$6:$B$205,A29))</f>
        <v/>
      </c>
      <c r="G29" s="37" t="str">
        <f>IF(A29="","",COUNTIFS('Aggregation Map'!$B$6:$B$205,A29,'Aggregation Map'!$F$6:$F$205,"Yes"))</f>
        <v/>
      </c>
      <c r="H29" s="64" t="str">
        <f>IF(A29="","",SUMIFS('Aggregation Map'!$G$6:$G$205,'Aggregation Map'!$B$6:$B$205,A29))</f>
        <v/>
      </c>
      <c r="I29" s="37" t="str">
        <f t="shared" si="1"/>
        <v/>
      </c>
      <c r="J29" s="37" t="str">
        <f t="shared" si="2"/>
        <v/>
      </c>
    </row>
  </sheetData>
  <conditionalFormatting sqref="I10:I29">
    <cfRule type="expression" dxfId="21" priority="2">
      <formula>I10="High concentration"</formula>
    </cfRule>
  </conditionalFormatting>
  <dataValidations count="1">
    <dataValidation type="list" allowBlank="1" showErrorMessage="1" sqref="B10:B29" xr:uid="{00000000-0002-0000-0D00-000000000000}">
      <formula1>"Supplier,Asset / system,Process,Threat,People,Customer,Geography,Other"</formula1>
      <formula2>0</formula2>
    </dataValidation>
  </dataValidation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548235"/>
  </sheetPr>
  <dimension ref="A1:H205"/>
  <sheetViews>
    <sheetView showGridLines="0" workbookViewId="0">
      <pane xSplit="2" ySplit="5" topLeftCell="C6" activePane="bottomRight" state="frozen"/>
      <selection pane="topRight"/>
      <selection pane="bottomLeft"/>
      <selection pane="bottomRight" activeCell="C6" sqref="C6"/>
    </sheetView>
  </sheetViews>
  <sheetFormatPr defaultColWidth="8.6328125" defaultRowHeight="14.5" x14ac:dyDescent="0.35"/>
  <cols>
    <col min="1" max="1" width="10" customWidth="1"/>
    <col min="2" max="2" width="38" customWidth="1"/>
    <col min="3" max="3" width="32" customWidth="1"/>
    <col min="4" max="4" width="24" customWidth="1"/>
    <col min="5" max="5" width="10" customWidth="1"/>
    <col min="6" max="6" width="14" customWidth="1"/>
    <col min="7" max="7" width="16" customWidth="1"/>
    <col min="8" max="8" width="12" customWidth="1"/>
  </cols>
  <sheetData>
    <row r="1" spans="1:8" ht="20" x14ac:dyDescent="0.4">
      <c r="A1" s="2" t="s">
        <v>630</v>
      </c>
    </row>
    <row r="2" spans="1:8" x14ac:dyDescent="0.35">
      <c r="A2" s="1" t="s">
        <v>631</v>
      </c>
    </row>
    <row r="5" spans="1:8" ht="43.5" customHeight="1" x14ac:dyDescent="0.35">
      <c r="A5" s="16" t="s">
        <v>224</v>
      </c>
      <c r="B5" s="16" t="s">
        <v>613</v>
      </c>
      <c r="C5" s="16" t="s">
        <v>225</v>
      </c>
      <c r="D5" s="16" t="s">
        <v>55</v>
      </c>
      <c r="E5" s="16" t="s">
        <v>313</v>
      </c>
      <c r="F5" s="16" t="s">
        <v>632</v>
      </c>
      <c r="G5" s="16" t="s">
        <v>633</v>
      </c>
      <c r="H5" s="16" t="s">
        <v>634</v>
      </c>
    </row>
    <row r="6" spans="1:8" x14ac:dyDescent="0.35">
      <c r="A6" s="35" t="s">
        <v>258</v>
      </c>
      <c r="B6" s="35" t="s">
        <v>623</v>
      </c>
      <c r="C6" s="44" t="str">
        <f>IF(A6="","",IFERROR(INDEX('Risk Register'!$B$6:$B$105,MATCH(A6,'Risk Register'!$A$6:$A$105,0)),"Unknown Risk ID"))</f>
        <v>Ransomware on production</v>
      </c>
      <c r="D6" s="38" t="str">
        <f>IF(A6="","",IFERROR(INDEX('Risk Register'!$D$6:$D$105,MATCH(A6,'Risk Register'!$A$6:$A$105,0)),""))</f>
        <v>Cyber &amp; Information Security</v>
      </c>
      <c r="E6" s="37">
        <f ca="1">IF(A6="","",IFERROR(INDEX('Risk Register'!$O$6:$O$105,MATCH(A6,'Risk Register'!$A$6:$A$105,0)),0))</f>
        <v>15</v>
      </c>
      <c r="F6" s="37" t="str">
        <f ca="1">IF(A6="","",IFERROR(IF(INDEX('Risk Register'!$U$6:$U$105,MATCH(A6,'Risk Register'!$A$6:$A$105,0))="Within appetite","No","Yes"),""))</f>
        <v>Yes</v>
      </c>
      <c r="G6" s="64">
        <f>IF(A6="","",SUMIF('Scenario Analysis'!$C$8:$C$57,A6,'Scenario Analysis'!$K$8:$K$57))</f>
        <v>151250</v>
      </c>
      <c r="H6" s="37" t="str">
        <f t="shared" ref="H6:H37" si="0">IF(OR(A6="",B6=""),"",IF(COUNTIFS($A$6:$A$205,A6,$B$6:$B$205,B6)&gt;1,"Duplicate",""))</f>
        <v/>
      </c>
    </row>
    <row r="7" spans="1:8" x14ac:dyDescent="0.35">
      <c r="A7" s="35" t="s">
        <v>270</v>
      </c>
      <c r="B7" s="35" t="s">
        <v>623</v>
      </c>
      <c r="C7" s="44" t="str">
        <f>IF(A7="","",IFERROR(INDEX('Risk Register'!$B$6:$B$105,MATCH(A7,'Risk Register'!$A$6:$A$105,0)),"Unknown Risk ID"))</f>
        <v>Sensitive data pasted into AI tools</v>
      </c>
      <c r="D7" s="38" t="str">
        <f>IF(A7="","",IFERROR(INDEX('Risk Register'!$D$6:$D$105,MATCH(A7,'Risk Register'!$A$6:$A$105,0)),""))</f>
        <v>Data Privacy</v>
      </c>
      <c r="E7" s="37">
        <f ca="1">IF(A7="","",IFERROR(INDEX('Risk Register'!$O$6:$O$105,MATCH(A7,'Risk Register'!$A$6:$A$105,0)),0))</f>
        <v>9</v>
      </c>
      <c r="F7" s="37" t="str">
        <f ca="1">IF(A7="","",IFERROR(IF(INDEX('Risk Register'!$U$6:$U$105,MATCH(A7,'Risk Register'!$A$6:$A$105,0))="Within appetite","No","Yes"),""))</f>
        <v>Yes</v>
      </c>
      <c r="G7" s="64">
        <f>IF(A7="","",SUMIF('Scenario Analysis'!$C$8:$C$57,A7,'Scenario Analysis'!$K$8:$K$57))</f>
        <v>61666.666666666664</v>
      </c>
      <c r="H7" s="37" t="str">
        <f t="shared" si="0"/>
        <v/>
      </c>
    </row>
    <row r="8" spans="1:8" x14ac:dyDescent="0.35">
      <c r="A8" s="35" t="s">
        <v>287</v>
      </c>
      <c r="B8" s="35" t="s">
        <v>623</v>
      </c>
      <c r="C8" s="44" t="str">
        <f>IF(A8="","",IFERROR(INDEX('Risk Register'!$B$6:$B$105,MATCH(A8,'Risk Register'!$A$6:$A$105,0)),"Unknown Risk ID"))</f>
        <v>Legacy ERP out of support</v>
      </c>
      <c r="D8" s="38" t="str">
        <f>IF(A8="","",IFERROR(INDEX('Risk Register'!$D$6:$D$105,MATCH(A8,'Risk Register'!$A$6:$A$105,0)),""))</f>
        <v>Technology</v>
      </c>
      <c r="E8" s="37">
        <f ca="1">IF(A8="","",IFERROR(INDEX('Risk Register'!$O$6:$O$105,MATCH(A8,'Risk Register'!$A$6:$A$105,0)),0))</f>
        <v>15</v>
      </c>
      <c r="F8" s="37" t="str">
        <f ca="1">IF(A8="","",IFERROR(IF(INDEX('Risk Register'!$U$6:$U$105,MATCH(A8,'Risk Register'!$A$6:$A$105,0))="Within appetite","No","Yes"),""))</f>
        <v>Yes</v>
      </c>
      <c r="G8" s="64">
        <f>IF(A8="","",SUMIF('Scenario Analysis'!$C$8:$C$57,A8,'Scenario Analysis'!$K$8:$K$57))</f>
        <v>111333.33333333333</v>
      </c>
      <c r="H8" s="37" t="str">
        <f t="shared" si="0"/>
        <v/>
      </c>
    </row>
    <row r="9" spans="1:8" x14ac:dyDescent="0.35">
      <c r="A9" s="35" t="s">
        <v>281</v>
      </c>
      <c r="B9" s="35" t="s">
        <v>625</v>
      </c>
      <c r="C9" s="44" t="str">
        <f>IF(A9="","",IFERROR(INDEX('Risk Register'!$B$6:$B$105,MATCH(A9,'Risk Register'!$A$6:$A$105,0)),"Unknown Risk ID"))</f>
        <v>Key-person dependency</v>
      </c>
      <c r="D9" s="38" t="str">
        <f>IF(A9="","",IFERROR(INDEX('Risk Register'!$D$6:$D$105,MATCH(A9,'Risk Register'!$A$6:$A$105,0)),""))</f>
        <v>People</v>
      </c>
      <c r="E9" s="37">
        <f ca="1">IF(A9="","",IFERROR(INDEX('Risk Register'!$O$6:$O$105,MATCH(A9,'Risk Register'!$A$6:$A$105,0)),0))</f>
        <v>9</v>
      </c>
      <c r="F9" s="37" t="str">
        <f ca="1">IF(A9="","",IFERROR(IF(INDEX('Risk Register'!$U$6:$U$105,MATCH(A9,'Risk Register'!$A$6:$A$105,0))="Within appetite","No","Yes"),""))</f>
        <v>No</v>
      </c>
      <c r="G9" s="64">
        <f>IF(A9="","",SUMIF('Scenario Analysis'!$C$8:$C$57,A9,'Scenario Analysis'!$K$8:$K$57))</f>
        <v>0</v>
      </c>
      <c r="H9" s="37" t="str">
        <f t="shared" si="0"/>
        <v/>
      </c>
    </row>
    <row r="10" spans="1:8" x14ac:dyDescent="0.35">
      <c r="A10" s="35" t="s">
        <v>258</v>
      </c>
      <c r="B10" s="35" t="s">
        <v>625</v>
      </c>
      <c r="C10" s="44" t="str">
        <f>IF(A10="","",IFERROR(INDEX('Risk Register'!$B$6:$B$105,MATCH(A10,'Risk Register'!$A$6:$A$105,0)),"Unknown Risk ID"))</f>
        <v>Ransomware on production</v>
      </c>
      <c r="D10" s="38" t="str">
        <f>IF(A10="","",IFERROR(INDEX('Risk Register'!$D$6:$D$105,MATCH(A10,'Risk Register'!$A$6:$A$105,0)),""))</f>
        <v>Cyber &amp; Information Security</v>
      </c>
      <c r="E10" s="37">
        <f ca="1">IF(A10="","",IFERROR(INDEX('Risk Register'!$O$6:$O$105,MATCH(A10,'Risk Register'!$A$6:$A$105,0)),0))</f>
        <v>15</v>
      </c>
      <c r="F10" s="37" t="str">
        <f ca="1">IF(A10="","",IFERROR(IF(INDEX('Risk Register'!$U$6:$U$105,MATCH(A10,'Risk Register'!$A$6:$A$105,0))="Within appetite","No","Yes"),""))</f>
        <v>Yes</v>
      </c>
      <c r="G10" s="64">
        <f>IF(A10="","",SUMIF('Scenario Analysis'!$C$8:$C$57,A10,'Scenario Analysis'!$K$8:$K$57))</f>
        <v>151250</v>
      </c>
      <c r="H10" s="37" t="str">
        <f t="shared" si="0"/>
        <v/>
      </c>
    </row>
    <row r="11" spans="1:8" x14ac:dyDescent="0.35">
      <c r="A11" s="35" t="s">
        <v>287</v>
      </c>
      <c r="B11" s="35" t="s">
        <v>625</v>
      </c>
      <c r="C11" s="44" t="str">
        <f>IF(A11="","",IFERROR(INDEX('Risk Register'!$B$6:$B$105,MATCH(A11,'Risk Register'!$A$6:$A$105,0)),"Unknown Risk ID"))</f>
        <v>Legacy ERP out of support</v>
      </c>
      <c r="D11" s="38" t="str">
        <f>IF(A11="","",IFERROR(INDEX('Risk Register'!$D$6:$D$105,MATCH(A11,'Risk Register'!$A$6:$A$105,0)),""))</f>
        <v>Technology</v>
      </c>
      <c r="E11" s="37">
        <f ca="1">IF(A11="","",IFERROR(INDEX('Risk Register'!$O$6:$O$105,MATCH(A11,'Risk Register'!$A$6:$A$105,0)),0))</f>
        <v>15</v>
      </c>
      <c r="F11" s="37" t="str">
        <f ca="1">IF(A11="","",IFERROR(IF(INDEX('Risk Register'!$U$6:$U$105,MATCH(A11,'Risk Register'!$A$6:$A$105,0))="Within appetite","No","Yes"),""))</f>
        <v>Yes</v>
      </c>
      <c r="G11" s="64">
        <f>IF(A11="","",SUMIF('Scenario Analysis'!$C$8:$C$57,A11,'Scenario Analysis'!$K$8:$K$57))</f>
        <v>111333.33333333333</v>
      </c>
      <c r="H11" s="37" t="str">
        <f t="shared" si="0"/>
        <v/>
      </c>
    </row>
    <row r="12" spans="1:8" x14ac:dyDescent="0.35">
      <c r="A12" s="35" t="s">
        <v>264</v>
      </c>
      <c r="B12" s="35" t="s">
        <v>626</v>
      </c>
      <c r="C12" s="44" t="str">
        <f>IF(A12="","",IFERROR(INDEX('Risk Register'!$B$6:$B$105,MATCH(A12,'Risk Register'!$A$6:$A$105,0)),"Unknown Risk ID"))</f>
        <v>SaaS provider data breach</v>
      </c>
      <c r="D12" s="38" t="str">
        <f>IF(A12="","",IFERROR(INDEX('Risk Register'!$D$6:$D$105,MATCH(A12,'Risk Register'!$A$6:$A$105,0)),""))</f>
        <v>Third-Party</v>
      </c>
      <c r="E12" s="37">
        <f ca="1">IF(A12="","",IFERROR(INDEX('Risk Register'!$O$6:$O$105,MATCH(A12,'Risk Register'!$A$6:$A$105,0)),0))</f>
        <v>16</v>
      </c>
      <c r="F12" s="37" t="str">
        <f ca="1">IF(A12="","",IFERROR(IF(INDEX('Risk Register'!$U$6:$U$105,MATCH(A12,'Risk Register'!$A$6:$A$105,0))="Within appetite","No","Yes"),""))</f>
        <v>Yes</v>
      </c>
      <c r="G12" s="64">
        <f>IF(A12="","",SUMIF('Scenario Analysis'!$C$8:$C$57,A12,'Scenario Analysis'!$K$8:$K$57))</f>
        <v>95000</v>
      </c>
      <c r="H12" s="37" t="str">
        <f t="shared" si="0"/>
        <v/>
      </c>
    </row>
    <row r="13" spans="1:8" x14ac:dyDescent="0.35">
      <c r="A13" s="35" t="s">
        <v>275</v>
      </c>
      <c r="B13" s="35" t="s">
        <v>626</v>
      </c>
      <c r="C13" s="44" t="str">
        <f>IF(A13="","",IFERROR(INDEX('Risk Register'!$B$6:$B$105,MATCH(A13,'Risk Register'!$A$6:$A$105,0)),"Unknown Risk ID"))</f>
        <v>Missed regulatory deadlines</v>
      </c>
      <c r="D13" s="38" t="str">
        <f>IF(A13="","",IFERROR(INDEX('Risk Register'!$D$6:$D$105,MATCH(A13,'Risk Register'!$A$6:$A$105,0)),""))</f>
        <v>Compliance &amp; Regulatory</v>
      </c>
      <c r="E13" s="37">
        <f ca="1">IF(A13="","",IFERROR(INDEX('Risk Register'!$O$6:$O$105,MATCH(A13,'Risk Register'!$A$6:$A$105,0)),0))</f>
        <v>8</v>
      </c>
      <c r="F13" s="37" t="str">
        <f ca="1">IF(A13="","",IFERROR(IF(INDEX('Risk Register'!$U$6:$U$105,MATCH(A13,'Risk Register'!$A$6:$A$105,0))="Within appetite","No","Yes"),""))</f>
        <v>Yes</v>
      </c>
      <c r="G13" s="64">
        <f>IF(A13="","",SUMIF('Scenario Analysis'!$C$8:$C$57,A13,'Scenario Analysis'!$K$8:$K$57))</f>
        <v>58750</v>
      </c>
      <c r="H13" s="37" t="str">
        <f t="shared" si="0"/>
        <v/>
      </c>
    </row>
    <row r="14" spans="1:8" x14ac:dyDescent="0.35">
      <c r="A14" s="35" t="s">
        <v>299</v>
      </c>
      <c r="B14" s="35" t="s">
        <v>628</v>
      </c>
      <c r="C14" s="44" t="str">
        <f>IF(A14="","",IFERROR(INDEX('Risk Register'!$B$6:$B$105,MATCH(A14,'Risk Register'!$A$6:$A$105,0)),"Unknown Risk ID"))</f>
        <v>Loss of anchor customer</v>
      </c>
      <c r="D14" s="38" t="str">
        <f>IF(A14="","",IFERROR(INDEX('Risk Register'!$D$6:$D$105,MATCH(A14,'Risk Register'!$A$6:$A$105,0)),""))</f>
        <v>Strategic</v>
      </c>
      <c r="E14" s="37">
        <f>IF(A14="","",IFERROR(INDEX('Risk Register'!$O$6:$O$105,MATCH(A14,'Risk Register'!$A$6:$A$105,0)),0))</f>
        <v>10</v>
      </c>
      <c r="F14" s="37" t="str">
        <f ca="1">IF(A14="","",IFERROR(IF(INDEX('Risk Register'!$U$6:$U$105,MATCH(A14,'Risk Register'!$A$6:$A$105,0))="Within appetite","No","Yes"),""))</f>
        <v>No</v>
      </c>
      <c r="G14" s="64">
        <f>IF(A14="","",SUMIF('Scenario Analysis'!$C$8:$C$57,A14,'Scenario Analysis'!$K$8:$K$57))</f>
        <v>0</v>
      </c>
      <c r="H14" s="37" t="str">
        <f t="shared" si="0"/>
        <v/>
      </c>
    </row>
    <row r="15" spans="1:8" x14ac:dyDescent="0.35">
      <c r="A15" s="35" t="s">
        <v>293</v>
      </c>
      <c r="B15" s="35" t="s">
        <v>628</v>
      </c>
      <c r="C15" s="44" t="str">
        <f>IF(A15="","",IFERROR(INDEX('Risk Register'!$B$6:$B$105,MATCH(A15,'Risk Register'!$A$6:$A$105,0)),"Unknown Risk ID"))</f>
        <v>Supplier price inflation</v>
      </c>
      <c r="D15" s="38" t="str">
        <f>IF(A15="","",IFERROR(INDEX('Risk Register'!$D$6:$D$105,MATCH(A15,'Risk Register'!$A$6:$A$105,0)),""))</f>
        <v>Financial</v>
      </c>
      <c r="E15" s="37">
        <f ca="1">IF(A15="","",IFERROR(INDEX('Risk Register'!$O$6:$O$105,MATCH(A15,'Risk Register'!$A$6:$A$105,0)),0))</f>
        <v>9</v>
      </c>
      <c r="F15" s="37" t="str">
        <f ca="1">IF(A15="","",IFERROR(IF(INDEX('Risk Register'!$U$6:$U$105,MATCH(A15,'Risk Register'!$A$6:$A$105,0))="Within appetite","No","Yes"),""))</f>
        <v>No</v>
      </c>
      <c r="G15" s="64">
        <f>IF(A15="","",SUMIF('Scenario Analysis'!$C$8:$C$57,A15,'Scenario Analysis'!$K$8:$K$57))</f>
        <v>0</v>
      </c>
      <c r="H15" s="37" t="str">
        <f t="shared" si="0"/>
        <v/>
      </c>
    </row>
    <row r="16" spans="1:8" x14ac:dyDescent="0.35">
      <c r="A16" s="35"/>
      <c r="B16" s="35"/>
      <c r="C16" s="44" t="str">
        <f>IF(A16="","",IFERROR(INDEX('Risk Register'!$B$6:$B$105,MATCH(A16,'Risk Register'!$A$6:$A$105,0)),"Unknown Risk ID"))</f>
        <v/>
      </c>
      <c r="D16" s="38" t="str">
        <f>IF(A16="","",IFERROR(INDEX('Risk Register'!$D$6:$D$105,MATCH(A16,'Risk Register'!$A$6:$A$105,0)),""))</f>
        <v/>
      </c>
      <c r="E16" s="37" t="str">
        <f>IF(A16="","",IFERROR(INDEX('Risk Register'!$O$6:$O$105,MATCH(A16,'Risk Register'!$A$6:$A$105,0)),0))</f>
        <v/>
      </c>
      <c r="F16" s="37" t="str">
        <f>IF(A16="","",IFERROR(IF(INDEX('Risk Register'!$U$6:$U$105,MATCH(A16,'Risk Register'!$A$6:$A$105,0))="Within appetite","No","Yes"),""))</f>
        <v/>
      </c>
      <c r="G16" s="64" t="str">
        <f>IF(A16="","",SUMIF('Scenario Analysis'!$C$8:$C$57,A16,'Scenario Analysis'!$K$8:$K$57))</f>
        <v/>
      </c>
      <c r="H16" s="37" t="str">
        <f t="shared" si="0"/>
        <v/>
      </c>
    </row>
    <row r="17" spans="1:8" x14ac:dyDescent="0.35">
      <c r="A17" s="35"/>
      <c r="B17" s="35"/>
      <c r="C17" s="44" t="str">
        <f>IF(A17="","",IFERROR(INDEX('Risk Register'!$B$6:$B$105,MATCH(A17,'Risk Register'!$A$6:$A$105,0)),"Unknown Risk ID"))</f>
        <v/>
      </c>
      <c r="D17" s="38" t="str">
        <f>IF(A17="","",IFERROR(INDEX('Risk Register'!$D$6:$D$105,MATCH(A17,'Risk Register'!$A$6:$A$105,0)),""))</f>
        <v/>
      </c>
      <c r="E17" s="37" t="str">
        <f>IF(A17="","",IFERROR(INDEX('Risk Register'!$O$6:$O$105,MATCH(A17,'Risk Register'!$A$6:$A$105,0)),0))</f>
        <v/>
      </c>
      <c r="F17" s="37" t="str">
        <f>IF(A17="","",IFERROR(IF(INDEX('Risk Register'!$U$6:$U$105,MATCH(A17,'Risk Register'!$A$6:$A$105,0))="Within appetite","No","Yes"),""))</f>
        <v/>
      </c>
      <c r="G17" s="64" t="str">
        <f>IF(A17="","",SUMIF('Scenario Analysis'!$C$8:$C$57,A17,'Scenario Analysis'!$K$8:$K$57))</f>
        <v/>
      </c>
      <c r="H17" s="37" t="str">
        <f t="shared" si="0"/>
        <v/>
      </c>
    </row>
    <row r="18" spans="1:8" x14ac:dyDescent="0.35">
      <c r="A18" s="35"/>
      <c r="B18" s="35"/>
      <c r="C18" s="44" t="str">
        <f>IF(A18="","",IFERROR(INDEX('Risk Register'!$B$6:$B$105,MATCH(A18,'Risk Register'!$A$6:$A$105,0)),"Unknown Risk ID"))</f>
        <v/>
      </c>
      <c r="D18" s="38" t="str">
        <f>IF(A18="","",IFERROR(INDEX('Risk Register'!$D$6:$D$105,MATCH(A18,'Risk Register'!$A$6:$A$105,0)),""))</f>
        <v/>
      </c>
      <c r="E18" s="37" t="str">
        <f>IF(A18="","",IFERROR(INDEX('Risk Register'!$O$6:$O$105,MATCH(A18,'Risk Register'!$A$6:$A$105,0)),0))</f>
        <v/>
      </c>
      <c r="F18" s="37" t="str">
        <f>IF(A18="","",IFERROR(IF(INDEX('Risk Register'!$U$6:$U$105,MATCH(A18,'Risk Register'!$A$6:$A$105,0))="Within appetite","No","Yes"),""))</f>
        <v/>
      </c>
      <c r="G18" s="64" t="str">
        <f>IF(A18="","",SUMIF('Scenario Analysis'!$C$8:$C$57,A18,'Scenario Analysis'!$K$8:$K$57))</f>
        <v/>
      </c>
      <c r="H18" s="37" t="str">
        <f t="shared" si="0"/>
        <v/>
      </c>
    </row>
    <row r="19" spans="1:8" x14ac:dyDescent="0.35">
      <c r="A19" s="35"/>
      <c r="B19" s="35"/>
      <c r="C19" s="44" t="str">
        <f>IF(A19="","",IFERROR(INDEX('Risk Register'!$B$6:$B$105,MATCH(A19,'Risk Register'!$A$6:$A$105,0)),"Unknown Risk ID"))</f>
        <v/>
      </c>
      <c r="D19" s="38" t="str">
        <f>IF(A19="","",IFERROR(INDEX('Risk Register'!$D$6:$D$105,MATCH(A19,'Risk Register'!$A$6:$A$105,0)),""))</f>
        <v/>
      </c>
      <c r="E19" s="37" t="str">
        <f>IF(A19="","",IFERROR(INDEX('Risk Register'!$O$6:$O$105,MATCH(A19,'Risk Register'!$A$6:$A$105,0)),0))</f>
        <v/>
      </c>
      <c r="F19" s="37" t="str">
        <f>IF(A19="","",IFERROR(IF(INDEX('Risk Register'!$U$6:$U$105,MATCH(A19,'Risk Register'!$A$6:$A$105,0))="Within appetite","No","Yes"),""))</f>
        <v/>
      </c>
      <c r="G19" s="64" t="str">
        <f>IF(A19="","",SUMIF('Scenario Analysis'!$C$8:$C$57,A19,'Scenario Analysis'!$K$8:$K$57))</f>
        <v/>
      </c>
      <c r="H19" s="37" t="str">
        <f t="shared" si="0"/>
        <v/>
      </c>
    </row>
    <row r="20" spans="1:8" x14ac:dyDescent="0.35">
      <c r="A20" s="35"/>
      <c r="B20" s="35"/>
      <c r="C20" s="44" t="str">
        <f>IF(A20="","",IFERROR(INDEX('Risk Register'!$B$6:$B$105,MATCH(A20,'Risk Register'!$A$6:$A$105,0)),"Unknown Risk ID"))</f>
        <v/>
      </c>
      <c r="D20" s="38" t="str">
        <f>IF(A20="","",IFERROR(INDEX('Risk Register'!$D$6:$D$105,MATCH(A20,'Risk Register'!$A$6:$A$105,0)),""))</f>
        <v/>
      </c>
      <c r="E20" s="37" t="str">
        <f>IF(A20="","",IFERROR(INDEX('Risk Register'!$O$6:$O$105,MATCH(A20,'Risk Register'!$A$6:$A$105,0)),0))</f>
        <v/>
      </c>
      <c r="F20" s="37" t="str">
        <f>IF(A20="","",IFERROR(IF(INDEX('Risk Register'!$U$6:$U$105,MATCH(A20,'Risk Register'!$A$6:$A$105,0))="Within appetite","No","Yes"),""))</f>
        <v/>
      </c>
      <c r="G20" s="64" t="str">
        <f>IF(A20="","",SUMIF('Scenario Analysis'!$C$8:$C$57,A20,'Scenario Analysis'!$K$8:$K$57))</f>
        <v/>
      </c>
      <c r="H20" s="37" t="str">
        <f t="shared" si="0"/>
        <v/>
      </c>
    </row>
    <row r="21" spans="1:8" x14ac:dyDescent="0.35">
      <c r="A21" s="35"/>
      <c r="B21" s="35"/>
      <c r="C21" s="44" t="str">
        <f>IF(A21="","",IFERROR(INDEX('Risk Register'!$B$6:$B$105,MATCH(A21,'Risk Register'!$A$6:$A$105,0)),"Unknown Risk ID"))</f>
        <v/>
      </c>
      <c r="D21" s="38" t="str">
        <f>IF(A21="","",IFERROR(INDEX('Risk Register'!$D$6:$D$105,MATCH(A21,'Risk Register'!$A$6:$A$105,0)),""))</f>
        <v/>
      </c>
      <c r="E21" s="37" t="str">
        <f>IF(A21="","",IFERROR(INDEX('Risk Register'!$O$6:$O$105,MATCH(A21,'Risk Register'!$A$6:$A$105,0)),0))</f>
        <v/>
      </c>
      <c r="F21" s="37" t="str">
        <f>IF(A21="","",IFERROR(IF(INDEX('Risk Register'!$U$6:$U$105,MATCH(A21,'Risk Register'!$A$6:$A$105,0))="Within appetite","No","Yes"),""))</f>
        <v/>
      </c>
      <c r="G21" s="64" t="str">
        <f>IF(A21="","",SUMIF('Scenario Analysis'!$C$8:$C$57,A21,'Scenario Analysis'!$K$8:$K$57))</f>
        <v/>
      </c>
      <c r="H21" s="37" t="str">
        <f t="shared" si="0"/>
        <v/>
      </c>
    </row>
    <row r="22" spans="1:8" x14ac:dyDescent="0.35">
      <c r="A22" s="35"/>
      <c r="B22" s="35"/>
      <c r="C22" s="44" t="str">
        <f>IF(A22="","",IFERROR(INDEX('Risk Register'!$B$6:$B$105,MATCH(A22,'Risk Register'!$A$6:$A$105,0)),"Unknown Risk ID"))</f>
        <v/>
      </c>
      <c r="D22" s="38" t="str">
        <f>IF(A22="","",IFERROR(INDEX('Risk Register'!$D$6:$D$105,MATCH(A22,'Risk Register'!$A$6:$A$105,0)),""))</f>
        <v/>
      </c>
      <c r="E22" s="37" t="str">
        <f>IF(A22="","",IFERROR(INDEX('Risk Register'!$O$6:$O$105,MATCH(A22,'Risk Register'!$A$6:$A$105,0)),0))</f>
        <v/>
      </c>
      <c r="F22" s="37" t="str">
        <f>IF(A22="","",IFERROR(IF(INDEX('Risk Register'!$U$6:$U$105,MATCH(A22,'Risk Register'!$A$6:$A$105,0))="Within appetite","No","Yes"),""))</f>
        <v/>
      </c>
      <c r="G22" s="64" t="str">
        <f>IF(A22="","",SUMIF('Scenario Analysis'!$C$8:$C$57,A22,'Scenario Analysis'!$K$8:$K$57))</f>
        <v/>
      </c>
      <c r="H22" s="37" t="str">
        <f t="shared" si="0"/>
        <v/>
      </c>
    </row>
    <row r="23" spans="1:8" x14ac:dyDescent="0.35">
      <c r="A23" s="35"/>
      <c r="B23" s="35"/>
      <c r="C23" s="44" t="str">
        <f>IF(A23="","",IFERROR(INDEX('Risk Register'!$B$6:$B$105,MATCH(A23,'Risk Register'!$A$6:$A$105,0)),"Unknown Risk ID"))</f>
        <v/>
      </c>
      <c r="D23" s="38" t="str">
        <f>IF(A23="","",IFERROR(INDEX('Risk Register'!$D$6:$D$105,MATCH(A23,'Risk Register'!$A$6:$A$105,0)),""))</f>
        <v/>
      </c>
      <c r="E23" s="37" t="str">
        <f>IF(A23="","",IFERROR(INDEX('Risk Register'!$O$6:$O$105,MATCH(A23,'Risk Register'!$A$6:$A$105,0)),0))</f>
        <v/>
      </c>
      <c r="F23" s="37" t="str">
        <f>IF(A23="","",IFERROR(IF(INDEX('Risk Register'!$U$6:$U$105,MATCH(A23,'Risk Register'!$A$6:$A$105,0))="Within appetite","No","Yes"),""))</f>
        <v/>
      </c>
      <c r="G23" s="64" t="str">
        <f>IF(A23="","",SUMIF('Scenario Analysis'!$C$8:$C$57,A23,'Scenario Analysis'!$K$8:$K$57))</f>
        <v/>
      </c>
      <c r="H23" s="37" t="str">
        <f t="shared" si="0"/>
        <v/>
      </c>
    </row>
    <row r="24" spans="1:8" x14ac:dyDescent="0.35">
      <c r="A24" s="35"/>
      <c r="B24" s="35"/>
      <c r="C24" s="44" t="str">
        <f>IF(A24="","",IFERROR(INDEX('Risk Register'!$B$6:$B$105,MATCH(A24,'Risk Register'!$A$6:$A$105,0)),"Unknown Risk ID"))</f>
        <v/>
      </c>
      <c r="D24" s="38" t="str">
        <f>IF(A24="","",IFERROR(INDEX('Risk Register'!$D$6:$D$105,MATCH(A24,'Risk Register'!$A$6:$A$105,0)),""))</f>
        <v/>
      </c>
      <c r="E24" s="37" t="str">
        <f>IF(A24="","",IFERROR(INDEX('Risk Register'!$O$6:$O$105,MATCH(A24,'Risk Register'!$A$6:$A$105,0)),0))</f>
        <v/>
      </c>
      <c r="F24" s="37" t="str">
        <f>IF(A24="","",IFERROR(IF(INDEX('Risk Register'!$U$6:$U$105,MATCH(A24,'Risk Register'!$A$6:$A$105,0))="Within appetite","No","Yes"),""))</f>
        <v/>
      </c>
      <c r="G24" s="64" t="str">
        <f>IF(A24="","",SUMIF('Scenario Analysis'!$C$8:$C$57,A24,'Scenario Analysis'!$K$8:$K$57))</f>
        <v/>
      </c>
      <c r="H24" s="37" t="str">
        <f t="shared" si="0"/>
        <v/>
      </c>
    </row>
    <row r="25" spans="1:8" x14ac:dyDescent="0.35">
      <c r="A25" s="35"/>
      <c r="B25" s="35"/>
      <c r="C25" s="44" t="str">
        <f>IF(A25="","",IFERROR(INDEX('Risk Register'!$B$6:$B$105,MATCH(A25,'Risk Register'!$A$6:$A$105,0)),"Unknown Risk ID"))</f>
        <v/>
      </c>
      <c r="D25" s="38" t="str">
        <f>IF(A25="","",IFERROR(INDEX('Risk Register'!$D$6:$D$105,MATCH(A25,'Risk Register'!$A$6:$A$105,0)),""))</f>
        <v/>
      </c>
      <c r="E25" s="37" t="str">
        <f>IF(A25="","",IFERROR(INDEX('Risk Register'!$O$6:$O$105,MATCH(A25,'Risk Register'!$A$6:$A$105,0)),0))</f>
        <v/>
      </c>
      <c r="F25" s="37" t="str">
        <f>IF(A25="","",IFERROR(IF(INDEX('Risk Register'!$U$6:$U$105,MATCH(A25,'Risk Register'!$A$6:$A$105,0))="Within appetite","No","Yes"),""))</f>
        <v/>
      </c>
      <c r="G25" s="64" t="str">
        <f>IF(A25="","",SUMIF('Scenario Analysis'!$C$8:$C$57,A25,'Scenario Analysis'!$K$8:$K$57))</f>
        <v/>
      </c>
      <c r="H25" s="37" t="str">
        <f t="shared" si="0"/>
        <v/>
      </c>
    </row>
    <row r="26" spans="1:8" x14ac:dyDescent="0.35">
      <c r="A26" s="35"/>
      <c r="B26" s="35"/>
      <c r="C26" s="44" t="str">
        <f>IF(A26="","",IFERROR(INDEX('Risk Register'!$B$6:$B$105,MATCH(A26,'Risk Register'!$A$6:$A$105,0)),"Unknown Risk ID"))</f>
        <v/>
      </c>
      <c r="D26" s="38" t="str">
        <f>IF(A26="","",IFERROR(INDEX('Risk Register'!$D$6:$D$105,MATCH(A26,'Risk Register'!$A$6:$A$105,0)),""))</f>
        <v/>
      </c>
      <c r="E26" s="37" t="str">
        <f>IF(A26="","",IFERROR(INDEX('Risk Register'!$O$6:$O$105,MATCH(A26,'Risk Register'!$A$6:$A$105,0)),0))</f>
        <v/>
      </c>
      <c r="F26" s="37" t="str">
        <f>IF(A26="","",IFERROR(IF(INDEX('Risk Register'!$U$6:$U$105,MATCH(A26,'Risk Register'!$A$6:$A$105,0))="Within appetite","No","Yes"),""))</f>
        <v/>
      </c>
      <c r="G26" s="64" t="str">
        <f>IF(A26="","",SUMIF('Scenario Analysis'!$C$8:$C$57,A26,'Scenario Analysis'!$K$8:$K$57))</f>
        <v/>
      </c>
      <c r="H26" s="37" t="str">
        <f t="shared" si="0"/>
        <v/>
      </c>
    </row>
    <row r="27" spans="1:8" x14ac:dyDescent="0.35">
      <c r="A27" s="35"/>
      <c r="B27" s="35"/>
      <c r="C27" s="44" t="str">
        <f>IF(A27="","",IFERROR(INDEX('Risk Register'!$B$6:$B$105,MATCH(A27,'Risk Register'!$A$6:$A$105,0)),"Unknown Risk ID"))</f>
        <v/>
      </c>
      <c r="D27" s="38" t="str">
        <f>IF(A27="","",IFERROR(INDEX('Risk Register'!$D$6:$D$105,MATCH(A27,'Risk Register'!$A$6:$A$105,0)),""))</f>
        <v/>
      </c>
      <c r="E27" s="37" t="str">
        <f>IF(A27="","",IFERROR(INDEX('Risk Register'!$O$6:$O$105,MATCH(A27,'Risk Register'!$A$6:$A$105,0)),0))</f>
        <v/>
      </c>
      <c r="F27" s="37" t="str">
        <f>IF(A27="","",IFERROR(IF(INDEX('Risk Register'!$U$6:$U$105,MATCH(A27,'Risk Register'!$A$6:$A$105,0))="Within appetite","No","Yes"),""))</f>
        <v/>
      </c>
      <c r="G27" s="64" t="str">
        <f>IF(A27="","",SUMIF('Scenario Analysis'!$C$8:$C$57,A27,'Scenario Analysis'!$K$8:$K$57))</f>
        <v/>
      </c>
      <c r="H27" s="37" t="str">
        <f t="shared" si="0"/>
        <v/>
      </c>
    </row>
    <row r="28" spans="1:8" x14ac:dyDescent="0.35">
      <c r="A28" s="35"/>
      <c r="B28" s="35"/>
      <c r="C28" s="44" t="str">
        <f>IF(A28="","",IFERROR(INDEX('Risk Register'!$B$6:$B$105,MATCH(A28,'Risk Register'!$A$6:$A$105,0)),"Unknown Risk ID"))</f>
        <v/>
      </c>
      <c r="D28" s="38" t="str">
        <f>IF(A28="","",IFERROR(INDEX('Risk Register'!$D$6:$D$105,MATCH(A28,'Risk Register'!$A$6:$A$105,0)),""))</f>
        <v/>
      </c>
      <c r="E28" s="37" t="str">
        <f>IF(A28="","",IFERROR(INDEX('Risk Register'!$O$6:$O$105,MATCH(A28,'Risk Register'!$A$6:$A$105,0)),0))</f>
        <v/>
      </c>
      <c r="F28" s="37" t="str">
        <f>IF(A28="","",IFERROR(IF(INDEX('Risk Register'!$U$6:$U$105,MATCH(A28,'Risk Register'!$A$6:$A$105,0))="Within appetite","No","Yes"),""))</f>
        <v/>
      </c>
      <c r="G28" s="64" t="str">
        <f>IF(A28="","",SUMIF('Scenario Analysis'!$C$8:$C$57,A28,'Scenario Analysis'!$K$8:$K$57))</f>
        <v/>
      </c>
      <c r="H28" s="37" t="str">
        <f t="shared" si="0"/>
        <v/>
      </c>
    </row>
    <row r="29" spans="1:8" x14ac:dyDescent="0.35">
      <c r="A29" s="35"/>
      <c r="B29" s="35"/>
      <c r="C29" s="44" t="str">
        <f>IF(A29="","",IFERROR(INDEX('Risk Register'!$B$6:$B$105,MATCH(A29,'Risk Register'!$A$6:$A$105,0)),"Unknown Risk ID"))</f>
        <v/>
      </c>
      <c r="D29" s="38" t="str">
        <f>IF(A29="","",IFERROR(INDEX('Risk Register'!$D$6:$D$105,MATCH(A29,'Risk Register'!$A$6:$A$105,0)),""))</f>
        <v/>
      </c>
      <c r="E29" s="37" t="str">
        <f>IF(A29="","",IFERROR(INDEX('Risk Register'!$O$6:$O$105,MATCH(A29,'Risk Register'!$A$6:$A$105,0)),0))</f>
        <v/>
      </c>
      <c r="F29" s="37" t="str">
        <f>IF(A29="","",IFERROR(IF(INDEX('Risk Register'!$U$6:$U$105,MATCH(A29,'Risk Register'!$A$6:$A$105,0))="Within appetite","No","Yes"),""))</f>
        <v/>
      </c>
      <c r="G29" s="64" t="str">
        <f>IF(A29="","",SUMIF('Scenario Analysis'!$C$8:$C$57,A29,'Scenario Analysis'!$K$8:$K$57))</f>
        <v/>
      </c>
      <c r="H29" s="37" t="str">
        <f t="shared" si="0"/>
        <v/>
      </c>
    </row>
    <row r="30" spans="1:8" x14ac:dyDescent="0.35">
      <c r="A30" s="35"/>
      <c r="B30" s="35"/>
      <c r="C30" s="44" t="str">
        <f>IF(A30="","",IFERROR(INDEX('Risk Register'!$B$6:$B$105,MATCH(A30,'Risk Register'!$A$6:$A$105,0)),"Unknown Risk ID"))</f>
        <v/>
      </c>
      <c r="D30" s="38" t="str">
        <f>IF(A30="","",IFERROR(INDEX('Risk Register'!$D$6:$D$105,MATCH(A30,'Risk Register'!$A$6:$A$105,0)),""))</f>
        <v/>
      </c>
      <c r="E30" s="37" t="str">
        <f>IF(A30="","",IFERROR(INDEX('Risk Register'!$O$6:$O$105,MATCH(A30,'Risk Register'!$A$6:$A$105,0)),0))</f>
        <v/>
      </c>
      <c r="F30" s="37" t="str">
        <f>IF(A30="","",IFERROR(IF(INDEX('Risk Register'!$U$6:$U$105,MATCH(A30,'Risk Register'!$A$6:$A$105,0))="Within appetite","No","Yes"),""))</f>
        <v/>
      </c>
      <c r="G30" s="64" t="str">
        <f>IF(A30="","",SUMIF('Scenario Analysis'!$C$8:$C$57,A30,'Scenario Analysis'!$K$8:$K$57))</f>
        <v/>
      </c>
      <c r="H30" s="37" t="str">
        <f t="shared" si="0"/>
        <v/>
      </c>
    </row>
    <row r="31" spans="1:8" x14ac:dyDescent="0.35">
      <c r="A31" s="35"/>
      <c r="B31" s="35"/>
      <c r="C31" s="44" t="str">
        <f>IF(A31="","",IFERROR(INDEX('Risk Register'!$B$6:$B$105,MATCH(A31,'Risk Register'!$A$6:$A$105,0)),"Unknown Risk ID"))</f>
        <v/>
      </c>
      <c r="D31" s="38" t="str">
        <f>IF(A31="","",IFERROR(INDEX('Risk Register'!$D$6:$D$105,MATCH(A31,'Risk Register'!$A$6:$A$105,0)),""))</f>
        <v/>
      </c>
      <c r="E31" s="37" t="str">
        <f>IF(A31="","",IFERROR(INDEX('Risk Register'!$O$6:$O$105,MATCH(A31,'Risk Register'!$A$6:$A$105,0)),0))</f>
        <v/>
      </c>
      <c r="F31" s="37" t="str">
        <f>IF(A31="","",IFERROR(IF(INDEX('Risk Register'!$U$6:$U$105,MATCH(A31,'Risk Register'!$A$6:$A$105,0))="Within appetite","No","Yes"),""))</f>
        <v/>
      </c>
      <c r="G31" s="64" t="str">
        <f>IF(A31="","",SUMIF('Scenario Analysis'!$C$8:$C$57,A31,'Scenario Analysis'!$K$8:$K$57))</f>
        <v/>
      </c>
      <c r="H31" s="37" t="str">
        <f t="shared" si="0"/>
        <v/>
      </c>
    </row>
    <row r="32" spans="1:8" x14ac:dyDescent="0.35">
      <c r="A32" s="35"/>
      <c r="B32" s="35"/>
      <c r="C32" s="44" t="str">
        <f>IF(A32="","",IFERROR(INDEX('Risk Register'!$B$6:$B$105,MATCH(A32,'Risk Register'!$A$6:$A$105,0)),"Unknown Risk ID"))</f>
        <v/>
      </c>
      <c r="D32" s="38" t="str">
        <f>IF(A32="","",IFERROR(INDEX('Risk Register'!$D$6:$D$105,MATCH(A32,'Risk Register'!$A$6:$A$105,0)),""))</f>
        <v/>
      </c>
      <c r="E32" s="37" t="str">
        <f>IF(A32="","",IFERROR(INDEX('Risk Register'!$O$6:$O$105,MATCH(A32,'Risk Register'!$A$6:$A$105,0)),0))</f>
        <v/>
      </c>
      <c r="F32" s="37" t="str">
        <f>IF(A32="","",IFERROR(IF(INDEX('Risk Register'!$U$6:$U$105,MATCH(A32,'Risk Register'!$A$6:$A$105,0))="Within appetite","No","Yes"),""))</f>
        <v/>
      </c>
      <c r="G32" s="64" t="str">
        <f>IF(A32="","",SUMIF('Scenario Analysis'!$C$8:$C$57,A32,'Scenario Analysis'!$K$8:$K$57))</f>
        <v/>
      </c>
      <c r="H32" s="37" t="str">
        <f t="shared" si="0"/>
        <v/>
      </c>
    </row>
    <row r="33" spans="1:8" x14ac:dyDescent="0.35">
      <c r="A33" s="35"/>
      <c r="B33" s="35"/>
      <c r="C33" s="44" t="str">
        <f>IF(A33="","",IFERROR(INDEX('Risk Register'!$B$6:$B$105,MATCH(A33,'Risk Register'!$A$6:$A$105,0)),"Unknown Risk ID"))</f>
        <v/>
      </c>
      <c r="D33" s="38" t="str">
        <f>IF(A33="","",IFERROR(INDEX('Risk Register'!$D$6:$D$105,MATCH(A33,'Risk Register'!$A$6:$A$105,0)),""))</f>
        <v/>
      </c>
      <c r="E33" s="37" t="str">
        <f>IF(A33="","",IFERROR(INDEX('Risk Register'!$O$6:$O$105,MATCH(A33,'Risk Register'!$A$6:$A$105,0)),0))</f>
        <v/>
      </c>
      <c r="F33" s="37" t="str">
        <f>IF(A33="","",IFERROR(IF(INDEX('Risk Register'!$U$6:$U$105,MATCH(A33,'Risk Register'!$A$6:$A$105,0))="Within appetite","No","Yes"),""))</f>
        <v/>
      </c>
      <c r="G33" s="64" t="str">
        <f>IF(A33="","",SUMIF('Scenario Analysis'!$C$8:$C$57,A33,'Scenario Analysis'!$K$8:$K$57))</f>
        <v/>
      </c>
      <c r="H33" s="37" t="str">
        <f t="shared" si="0"/>
        <v/>
      </c>
    </row>
    <row r="34" spans="1:8" x14ac:dyDescent="0.35">
      <c r="A34" s="35"/>
      <c r="B34" s="35"/>
      <c r="C34" s="44" t="str">
        <f>IF(A34="","",IFERROR(INDEX('Risk Register'!$B$6:$B$105,MATCH(A34,'Risk Register'!$A$6:$A$105,0)),"Unknown Risk ID"))</f>
        <v/>
      </c>
      <c r="D34" s="38" t="str">
        <f>IF(A34="","",IFERROR(INDEX('Risk Register'!$D$6:$D$105,MATCH(A34,'Risk Register'!$A$6:$A$105,0)),""))</f>
        <v/>
      </c>
      <c r="E34" s="37" t="str">
        <f>IF(A34="","",IFERROR(INDEX('Risk Register'!$O$6:$O$105,MATCH(A34,'Risk Register'!$A$6:$A$105,0)),0))</f>
        <v/>
      </c>
      <c r="F34" s="37" t="str">
        <f>IF(A34="","",IFERROR(IF(INDEX('Risk Register'!$U$6:$U$105,MATCH(A34,'Risk Register'!$A$6:$A$105,0))="Within appetite","No","Yes"),""))</f>
        <v/>
      </c>
      <c r="G34" s="64" t="str">
        <f>IF(A34="","",SUMIF('Scenario Analysis'!$C$8:$C$57,A34,'Scenario Analysis'!$K$8:$K$57))</f>
        <v/>
      </c>
      <c r="H34" s="37" t="str">
        <f t="shared" si="0"/>
        <v/>
      </c>
    </row>
    <row r="35" spans="1:8" x14ac:dyDescent="0.35">
      <c r="A35" s="35"/>
      <c r="B35" s="35"/>
      <c r="C35" s="44" t="str">
        <f>IF(A35="","",IFERROR(INDEX('Risk Register'!$B$6:$B$105,MATCH(A35,'Risk Register'!$A$6:$A$105,0)),"Unknown Risk ID"))</f>
        <v/>
      </c>
      <c r="D35" s="38" t="str">
        <f>IF(A35="","",IFERROR(INDEX('Risk Register'!$D$6:$D$105,MATCH(A35,'Risk Register'!$A$6:$A$105,0)),""))</f>
        <v/>
      </c>
      <c r="E35" s="37" t="str">
        <f>IF(A35="","",IFERROR(INDEX('Risk Register'!$O$6:$O$105,MATCH(A35,'Risk Register'!$A$6:$A$105,0)),0))</f>
        <v/>
      </c>
      <c r="F35" s="37" t="str">
        <f>IF(A35="","",IFERROR(IF(INDEX('Risk Register'!$U$6:$U$105,MATCH(A35,'Risk Register'!$A$6:$A$105,0))="Within appetite","No","Yes"),""))</f>
        <v/>
      </c>
      <c r="G35" s="64" t="str">
        <f>IF(A35="","",SUMIF('Scenario Analysis'!$C$8:$C$57,A35,'Scenario Analysis'!$K$8:$K$57))</f>
        <v/>
      </c>
      <c r="H35" s="37" t="str">
        <f t="shared" si="0"/>
        <v/>
      </c>
    </row>
    <row r="36" spans="1:8" x14ac:dyDescent="0.35">
      <c r="A36" s="35"/>
      <c r="B36" s="35"/>
      <c r="C36" s="44" t="str">
        <f>IF(A36="","",IFERROR(INDEX('Risk Register'!$B$6:$B$105,MATCH(A36,'Risk Register'!$A$6:$A$105,0)),"Unknown Risk ID"))</f>
        <v/>
      </c>
      <c r="D36" s="38" t="str">
        <f>IF(A36="","",IFERROR(INDEX('Risk Register'!$D$6:$D$105,MATCH(A36,'Risk Register'!$A$6:$A$105,0)),""))</f>
        <v/>
      </c>
      <c r="E36" s="37" t="str">
        <f>IF(A36="","",IFERROR(INDEX('Risk Register'!$O$6:$O$105,MATCH(A36,'Risk Register'!$A$6:$A$105,0)),0))</f>
        <v/>
      </c>
      <c r="F36" s="37" t="str">
        <f>IF(A36="","",IFERROR(IF(INDEX('Risk Register'!$U$6:$U$105,MATCH(A36,'Risk Register'!$A$6:$A$105,0))="Within appetite","No","Yes"),""))</f>
        <v/>
      </c>
      <c r="G36" s="64" t="str">
        <f>IF(A36="","",SUMIF('Scenario Analysis'!$C$8:$C$57,A36,'Scenario Analysis'!$K$8:$K$57))</f>
        <v/>
      </c>
      <c r="H36" s="37" t="str">
        <f t="shared" si="0"/>
        <v/>
      </c>
    </row>
    <row r="37" spans="1:8" x14ac:dyDescent="0.35">
      <c r="A37" s="35"/>
      <c r="B37" s="35"/>
      <c r="C37" s="44" t="str">
        <f>IF(A37="","",IFERROR(INDEX('Risk Register'!$B$6:$B$105,MATCH(A37,'Risk Register'!$A$6:$A$105,0)),"Unknown Risk ID"))</f>
        <v/>
      </c>
      <c r="D37" s="38" t="str">
        <f>IF(A37="","",IFERROR(INDEX('Risk Register'!$D$6:$D$105,MATCH(A37,'Risk Register'!$A$6:$A$105,0)),""))</f>
        <v/>
      </c>
      <c r="E37" s="37" t="str">
        <f>IF(A37="","",IFERROR(INDEX('Risk Register'!$O$6:$O$105,MATCH(A37,'Risk Register'!$A$6:$A$105,0)),0))</f>
        <v/>
      </c>
      <c r="F37" s="37" t="str">
        <f>IF(A37="","",IFERROR(IF(INDEX('Risk Register'!$U$6:$U$105,MATCH(A37,'Risk Register'!$A$6:$A$105,0))="Within appetite","No","Yes"),""))</f>
        <v/>
      </c>
      <c r="G37" s="64" t="str">
        <f>IF(A37="","",SUMIF('Scenario Analysis'!$C$8:$C$57,A37,'Scenario Analysis'!$K$8:$K$57))</f>
        <v/>
      </c>
      <c r="H37" s="37" t="str">
        <f t="shared" si="0"/>
        <v/>
      </c>
    </row>
    <row r="38" spans="1:8" x14ac:dyDescent="0.35">
      <c r="A38" s="35"/>
      <c r="B38" s="35"/>
      <c r="C38" s="44" t="str">
        <f>IF(A38="","",IFERROR(INDEX('Risk Register'!$B$6:$B$105,MATCH(A38,'Risk Register'!$A$6:$A$105,0)),"Unknown Risk ID"))</f>
        <v/>
      </c>
      <c r="D38" s="38" t="str">
        <f>IF(A38="","",IFERROR(INDEX('Risk Register'!$D$6:$D$105,MATCH(A38,'Risk Register'!$A$6:$A$105,0)),""))</f>
        <v/>
      </c>
      <c r="E38" s="37" t="str">
        <f>IF(A38="","",IFERROR(INDEX('Risk Register'!$O$6:$O$105,MATCH(A38,'Risk Register'!$A$6:$A$105,0)),0))</f>
        <v/>
      </c>
      <c r="F38" s="37" t="str">
        <f>IF(A38="","",IFERROR(IF(INDEX('Risk Register'!$U$6:$U$105,MATCH(A38,'Risk Register'!$A$6:$A$105,0))="Within appetite","No","Yes"),""))</f>
        <v/>
      </c>
      <c r="G38" s="64" t="str">
        <f>IF(A38="","",SUMIF('Scenario Analysis'!$C$8:$C$57,A38,'Scenario Analysis'!$K$8:$K$57))</f>
        <v/>
      </c>
      <c r="H38" s="37" t="str">
        <f t="shared" ref="H38:H69" si="1">IF(OR(A38="",B38=""),"",IF(COUNTIFS($A$6:$A$205,A38,$B$6:$B$205,B38)&gt;1,"Duplicate",""))</f>
        <v/>
      </c>
    </row>
    <row r="39" spans="1:8" x14ac:dyDescent="0.35">
      <c r="A39" s="35"/>
      <c r="B39" s="35"/>
      <c r="C39" s="44" t="str">
        <f>IF(A39="","",IFERROR(INDEX('Risk Register'!$B$6:$B$105,MATCH(A39,'Risk Register'!$A$6:$A$105,0)),"Unknown Risk ID"))</f>
        <v/>
      </c>
      <c r="D39" s="38" t="str">
        <f>IF(A39="","",IFERROR(INDEX('Risk Register'!$D$6:$D$105,MATCH(A39,'Risk Register'!$A$6:$A$105,0)),""))</f>
        <v/>
      </c>
      <c r="E39" s="37" t="str">
        <f>IF(A39="","",IFERROR(INDEX('Risk Register'!$O$6:$O$105,MATCH(A39,'Risk Register'!$A$6:$A$105,0)),0))</f>
        <v/>
      </c>
      <c r="F39" s="37" t="str">
        <f>IF(A39="","",IFERROR(IF(INDEX('Risk Register'!$U$6:$U$105,MATCH(A39,'Risk Register'!$A$6:$A$105,0))="Within appetite","No","Yes"),""))</f>
        <v/>
      </c>
      <c r="G39" s="64" t="str">
        <f>IF(A39="","",SUMIF('Scenario Analysis'!$C$8:$C$57,A39,'Scenario Analysis'!$K$8:$K$57))</f>
        <v/>
      </c>
      <c r="H39" s="37" t="str">
        <f t="shared" si="1"/>
        <v/>
      </c>
    </row>
    <row r="40" spans="1:8" x14ac:dyDescent="0.35">
      <c r="A40" s="35"/>
      <c r="B40" s="35"/>
      <c r="C40" s="44" t="str">
        <f>IF(A40="","",IFERROR(INDEX('Risk Register'!$B$6:$B$105,MATCH(A40,'Risk Register'!$A$6:$A$105,0)),"Unknown Risk ID"))</f>
        <v/>
      </c>
      <c r="D40" s="38" t="str">
        <f>IF(A40="","",IFERROR(INDEX('Risk Register'!$D$6:$D$105,MATCH(A40,'Risk Register'!$A$6:$A$105,0)),""))</f>
        <v/>
      </c>
      <c r="E40" s="37" t="str">
        <f>IF(A40="","",IFERROR(INDEX('Risk Register'!$O$6:$O$105,MATCH(A40,'Risk Register'!$A$6:$A$105,0)),0))</f>
        <v/>
      </c>
      <c r="F40" s="37" t="str">
        <f>IF(A40="","",IFERROR(IF(INDEX('Risk Register'!$U$6:$U$105,MATCH(A40,'Risk Register'!$A$6:$A$105,0))="Within appetite","No","Yes"),""))</f>
        <v/>
      </c>
      <c r="G40" s="64" t="str">
        <f>IF(A40="","",SUMIF('Scenario Analysis'!$C$8:$C$57,A40,'Scenario Analysis'!$K$8:$K$57))</f>
        <v/>
      </c>
      <c r="H40" s="37" t="str">
        <f t="shared" si="1"/>
        <v/>
      </c>
    </row>
    <row r="41" spans="1:8" x14ac:dyDescent="0.35">
      <c r="A41" s="35"/>
      <c r="B41" s="35"/>
      <c r="C41" s="44" t="str">
        <f>IF(A41="","",IFERROR(INDEX('Risk Register'!$B$6:$B$105,MATCH(A41,'Risk Register'!$A$6:$A$105,0)),"Unknown Risk ID"))</f>
        <v/>
      </c>
      <c r="D41" s="38" t="str">
        <f>IF(A41="","",IFERROR(INDEX('Risk Register'!$D$6:$D$105,MATCH(A41,'Risk Register'!$A$6:$A$105,0)),""))</f>
        <v/>
      </c>
      <c r="E41" s="37" t="str">
        <f>IF(A41="","",IFERROR(INDEX('Risk Register'!$O$6:$O$105,MATCH(A41,'Risk Register'!$A$6:$A$105,0)),0))</f>
        <v/>
      </c>
      <c r="F41" s="37" t="str">
        <f>IF(A41="","",IFERROR(IF(INDEX('Risk Register'!$U$6:$U$105,MATCH(A41,'Risk Register'!$A$6:$A$105,0))="Within appetite","No","Yes"),""))</f>
        <v/>
      </c>
      <c r="G41" s="64" t="str">
        <f>IF(A41="","",SUMIF('Scenario Analysis'!$C$8:$C$57,A41,'Scenario Analysis'!$K$8:$K$57))</f>
        <v/>
      </c>
      <c r="H41" s="37" t="str">
        <f t="shared" si="1"/>
        <v/>
      </c>
    </row>
    <row r="42" spans="1:8" x14ac:dyDescent="0.35">
      <c r="A42" s="35"/>
      <c r="B42" s="35"/>
      <c r="C42" s="44" t="str">
        <f>IF(A42="","",IFERROR(INDEX('Risk Register'!$B$6:$B$105,MATCH(A42,'Risk Register'!$A$6:$A$105,0)),"Unknown Risk ID"))</f>
        <v/>
      </c>
      <c r="D42" s="38" t="str">
        <f>IF(A42="","",IFERROR(INDEX('Risk Register'!$D$6:$D$105,MATCH(A42,'Risk Register'!$A$6:$A$105,0)),""))</f>
        <v/>
      </c>
      <c r="E42" s="37" t="str">
        <f>IF(A42="","",IFERROR(INDEX('Risk Register'!$O$6:$O$105,MATCH(A42,'Risk Register'!$A$6:$A$105,0)),0))</f>
        <v/>
      </c>
      <c r="F42" s="37" t="str">
        <f>IF(A42="","",IFERROR(IF(INDEX('Risk Register'!$U$6:$U$105,MATCH(A42,'Risk Register'!$A$6:$A$105,0))="Within appetite","No","Yes"),""))</f>
        <v/>
      </c>
      <c r="G42" s="64" t="str">
        <f>IF(A42="","",SUMIF('Scenario Analysis'!$C$8:$C$57,A42,'Scenario Analysis'!$K$8:$K$57))</f>
        <v/>
      </c>
      <c r="H42" s="37" t="str">
        <f t="shared" si="1"/>
        <v/>
      </c>
    </row>
    <row r="43" spans="1:8" x14ac:dyDescent="0.35">
      <c r="A43" s="35"/>
      <c r="B43" s="35"/>
      <c r="C43" s="44" t="str">
        <f>IF(A43="","",IFERROR(INDEX('Risk Register'!$B$6:$B$105,MATCH(A43,'Risk Register'!$A$6:$A$105,0)),"Unknown Risk ID"))</f>
        <v/>
      </c>
      <c r="D43" s="38" t="str">
        <f>IF(A43="","",IFERROR(INDEX('Risk Register'!$D$6:$D$105,MATCH(A43,'Risk Register'!$A$6:$A$105,0)),""))</f>
        <v/>
      </c>
      <c r="E43" s="37" t="str">
        <f>IF(A43="","",IFERROR(INDEX('Risk Register'!$O$6:$O$105,MATCH(A43,'Risk Register'!$A$6:$A$105,0)),0))</f>
        <v/>
      </c>
      <c r="F43" s="37" t="str">
        <f>IF(A43="","",IFERROR(IF(INDEX('Risk Register'!$U$6:$U$105,MATCH(A43,'Risk Register'!$A$6:$A$105,0))="Within appetite","No","Yes"),""))</f>
        <v/>
      </c>
      <c r="G43" s="64" t="str">
        <f>IF(A43="","",SUMIF('Scenario Analysis'!$C$8:$C$57,A43,'Scenario Analysis'!$K$8:$K$57))</f>
        <v/>
      </c>
      <c r="H43" s="37" t="str">
        <f t="shared" si="1"/>
        <v/>
      </c>
    </row>
    <row r="44" spans="1:8" x14ac:dyDescent="0.35">
      <c r="A44" s="35"/>
      <c r="B44" s="35"/>
      <c r="C44" s="44" t="str">
        <f>IF(A44="","",IFERROR(INDEX('Risk Register'!$B$6:$B$105,MATCH(A44,'Risk Register'!$A$6:$A$105,0)),"Unknown Risk ID"))</f>
        <v/>
      </c>
      <c r="D44" s="38" t="str">
        <f>IF(A44="","",IFERROR(INDEX('Risk Register'!$D$6:$D$105,MATCH(A44,'Risk Register'!$A$6:$A$105,0)),""))</f>
        <v/>
      </c>
      <c r="E44" s="37" t="str">
        <f>IF(A44="","",IFERROR(INDEX('Risk Register'!$O$6:$O$105,MATCH(A44,'Risk Register'!$A$6:$A$105,0)),0))</f>
        <v/>
      </c>
      <c r="F44" s="37" t="str">
        <f>IF(A44="","",IFERROR(IF(INDEX('Risk Register'!$U$6:$U$105,MATCH(A44,'Risk Register'!$A$6:$A$105,0))="Within appetite","No","Yes"),""))</f>
        <v/>
      </c>
      <c r="G44" s="64" t="str">
        <f>IF(A44="","",SUMIF('Scenario Analysis'!$C$8:$C$57,A44,'Scenario Analysis'!$K$8:$K$57))</f>
        <v/>
      </c>
      <c r="H44" s="37" t="str">
        <f t="shared" si="1"/>
        <v/>
      </c>
    </row>
    <row r="45" spans="1:8" x14ac:dyDescent="0.35">
      <c r="A45" s="35"/>
      <c r="B45" s="35"/>
      <c r="C45" s="44" t="str">
        <f>IF(A45="","",IFERROR(INDEX('Risk Register'!$B$6:$B$105,MATCH(A45,'Risk Register'!$A$6:$A$105,0)),"Unknown Risk ID"))</f>
        <v/>
      </c>
      <c r="D45" s="38" t="str">
        <f>IF(A45="","",IFERROR(INDEX('Risk Register'!$D$6:$D$105,MATCH(A45,'Risk Register'!$A$6:$A$105,0)),""))</f>
        <v/>
      </c>
      <c r="E45" s="37" t="str">
        <f>IF(A45="","",IFERROR(INDEX('Risk Register'!$O$6:$O$105,MATCH(A45,'Risk Register'!$A$6:$A$105,0)),0))</f>
        <v/>
      </c>
      <c r="F45" s="37" t="str">
        <f>IF(A45="","",IFERROR(IF(INDEX('Risk Register'!$U$6:$U$105,MATCH(A45,'Risk Register'!$A$6:$A$105,0))="Within appetite","No","Yes"),""))</f>
        <v/>
      </c>
      <c r="G45" s="64" t="str">
        <f>IF(A45="","",SUMIF('Scenario Analysis'!$C$8:$C$57,A45,'Scenario Analysis'!$K$8:$K$57))</f>
        <v/>
      </c>
      <c r="H45" s="37" t="str">
        <f t="shared" si="1"/>
        <v/>
      </c>
    </row>
    <row r="46" spans="1:8" x14ac:dyDescent="0.35">
      <c r="A46" s="35"/>
      <c r="B46" s="35"/>
      <c r="C46" s="44" t="str">
        <f>IF(A46="","",IFERROR(INDEX('Risk Register'!$B$6:$B$105,MATCH(A46,'Risk Register'!$A$6:$A$105,0)),"Unknown Risk ID"))</f>
        <v/>
      </c>
      <c r="D46" s="38" t="str">
        <f>IF(A46="","",IFERROR(INDEX('Risk Register'!$D$6:$D$105,MATCH(A46,'Risk Register'!$A$6:$A$105,0)),""))</f>
        <v/>
      </c>
      <c r="E46" s="37" t="str">
        <f>IF(A46="","",IFERROR(INDEX('Risk Register'!$O$6:$O$105,MATCH(A46,'Risk Register'!$A$6:$A$105,0)),0))</f>
        <v/>
      </c>
      <c r="F46" s="37" t="str">
        <f>IF(A46="","",IFERROR(IF(INDEX('Risk Register'!$U$6:$U$105,MATCH(A46,'Risk Register'!$A$6:$A$105,0))="Within appetite","No","Yes"),""))</f>
        <v/>
      </c>
      <c r="G46" s="64" t="str">
        <f>IF(A46="","",SUMIF('Scenario Analysis'!$C$8:$C$57,A46,'Scenario Analysis'!$K$8:$K$57))</f>
        <v/>
      </c>
      <c r="H46" s="37" t="str">
        <f t="shared" si="1"/>
        <v/>
      </c>
    </row>
    <row r="47" spans="1:8" x14ac:dyDescent="0.35">
      <c r="A47" s="35"/>
      <c r="B47" s="35"/>
      <c r="C47" s="44" t="str">
        <f>IF(A47="","",IFERROR(INDEX('Risk Register'!$B$6:$B$105,MATCH(A47,'Risk Register'!$A$6:$A$105,0)),"Unknown Risk ID"))</f>
        <v/>
      </c>
      <c r="D47" s="38" t="str">
        <f>IF(A47="","",IFERROR(INDEX('Risk Register'!$D$6:$D$105,MATCH(A47,'Risk Register'!$A$6:$A$105,0)),""))</f>
        <v/>
      </c>
      <c r="E47" s="37" t="str">
        <f>IF(A47="","",IFERROR(INDEX('Risk Register'!$O$6:$O$105,MATCH(A47,'Risk Register'!$A$6:$A$105,0)),0))</f>
        <v/>
      </c>
      <c r="F47" s="37" t="str">
        <f>IF(A47="","",IFERROR(IF(INDEX('Risk Register'!$U$6:$U$105,MATCH(A47,'Risk Register'!$A$6:$A$105,0))="Within appetite","No","Yes"),""))</f>
        <v/>
      </c>
      <c r="G47" s="64" t="str">
        <f>IF(A47="","",SUMIF('Scenario Analysis'!$C$8:$C$57,A47,'Scenario Analysis'!$K$8:$K$57))</f>
        <v/>
      </c>
      <c r="H47" s="37" t="str">
        <f t="shared" si="1"/>
        <v/>
      </c>
    </row>
    <row r="48" spans="1:8" x14ac:dyDescent="0.35">
      <c r="A48" s="35"/>
      <c r="B48" s="35"/>
      <c r="C48" s="44" t="str">
        <f>IF(A48="","",IFERROR(INDEX('Risk Register'!$B$6:$B$105,MATCH(A48,'Risk Register'!$A$6:$A$105,0)),"Unknown Risk ID"))</f>
        <v/>
      </c>
      <c r="D48" s="38" t="str">
        <f>IF(A48="","",IFERROR(INDEX('Risk Register'!$D$6:$D$105,MATCH(A48,'Risk Register'!$A$6:$A$105,0)),""))</f>
        <v/>
      </c>
      <c r="E48" s="37" t="str">
        <f>IF(A48="","",IFERROR(INDEX('Risk Register'!$O$6:$O$105,MATCH(A48,'Risk Register'!$A$6:$A$105,0)),0))</f>
        <v/>
      </c>
      <c r="F48" s="37" t="str">
        <f>IF(A48="","",IFERROR(IF(INDEX('Risk Register'!$U$6:$U$105,MATCH(A48,'Risk Register'!$A$6:$A$105,0))="Within appetite","No","Yes"),""))</f>
        <v/>
      </c>
      <c r="G48" s="64" t="str">
        <f>IF(A48="","",SUMIF('Scenario Analysis'!$C$8:$C$57,A48,'Scenario Analysis'!$K$8:$K$57))</f>
        <v/>
      </c>
      <c r="H48" s="37" t="str">
        <f t="shared" si="1"/>
        <v/>
      </c>
    </row>
    <row r="49" spans="1:8" x14ac:dyDescent="0.35">
      <c r="A49" s="35"/>
      <c r="B49" s="35"/>
      <c r="C49" s="44" t="str">
        <f>IF(A49="","",IFERROR(INDEX('Risk Register'!$B$6:$B$105,MATCH(A49,'Risk Register'!$A$6:$A$105,0)),"Unknown Risk ID"))</f>
        <v/>
      </c>
      <c r="D49" s="38" t="str">
        <f>IF(A49="","",IFERROR(INDEX('Risk Register'!$D$6:$D$105,MATCH(A49,'Risk Register'!$A$6:$A$105,0)),""))</f>
        <v/>
      </c>
      <c r="E49" s="37" t="str">
        <f>IF(A49="","",IFERROR(INDEX('Risk Register'!$O$6:$O$105,MATCH(A49,'Risk Register'!$A$6:$A$105,0)),0))</f>
        <v/>
      </c>
      <c r="F49" s="37" t="str">
        <f>IF(A49="","",IFERROR(IF(INDEX('Risk Register'!$U$6:$U$105,MATCH(A49,'Risk Register'!$A$6:$A$105,0))="Within appetite","No","Yes"),""))</f>
        <v/>
      </c>
      <c r="G49" s="64" t="str">
        <f>IF(A49="","",SUMIF('Scenario Analysis'!$C$8:$C$57,A49,'Scenario Analysis'!$K$8:$K$57))</f>
        <v/>
      </c>
      <c r="H49" s="37" t="str">
        <f t="shared" si="1"/>
        <v/>
      </c>
    </row>
    <row r="50" spans="1:8" x14ac:dyDescent="0.35">
      <c r="A50" s="35"/>
      <c r="B50" s="35"/>
      <c r="C50" s="44" t="str">
        <f>IF(A50="","",IFERROR(INDEX('Risk Register'!$B$6:$B$105,MATCH(A50,'Risk Register'!$A$6:$A$105,0)),"Unknown Risk ID"))</f>
        <v/>
      </c>
      <c r="D50" s="38" t="str">
        <f>IF(A50="","",IFERROR(INDEX('Risk Register'!$D$6:$D$105,MATCH(A50,'Risk Register'!$A$6:$A$105,0)),""))</f>
        <v/>
      </c>
      <c r="E50" s="37" t="str">
        <f>IF(A50="","",IFERROR(INDEX('Risk Register'!$O$6:$O$105,MATCH(A50,'Risk Register'!$A$6:$A$105,0)),0))</f>
        <v/>
      </c>
      <c r="F50" s="37" t="str">
        <f>IF(A50="","",IFERROR(IF(INDEX('Risk Register'!$U$6:$U$105,MATCH(A50,'Risk Register'!$A$6:$A$105,0))="Within appetite","No","Yes"),""))</f>
        <v/>
      </c>
      <c r="G50" s="64" t="str">
        <f>IF(A50="","",SUMIF('Scenario Analysis'!$C$8:$C$57,A50,'Scenario Analysis'!$K$8:$K$57))</f>
        <v/>
      </c>
      <c r="H50" s="37" t="str">
        <f t="shared" si="1"/>
        <v/>
      </c>
    </row>
    <row r="51" spans="1:8" x14ac:dyDescent="0.35">
      <c r="A51" s="35"/>
      <c r="B51" s="35"/>
      <c r="C51" s="44" t="str">
        <f>IF(A51="","",IFERROR(INDEX('Risk Register'!$B$6:$B$105,MATCH(A51,'Risk Register'!$A$6:$A$105,0)),"Unknown Risk ID"))</f>
        <v/>
      </c>
      <c r="D51" s="38" t="str">
        <f>IF(A51="","",IFERROR(INDEX('Risk Register'!$D$6:$D$105,MATCH(A51,'Risk Register'!$A$6:$A$105,0)),""))</f>
        <v/>
      </c>
      <c r="E51" s="37" t="str">
        <f>IF(A51="","",IFERROR(INDEX('Risk Register'!$O$6:$O$105,MATCH(A51,'Risk Register'!$A$6:$A$105,0)),0))</f>
        <v/>
      </c>
      <c r="F51" s="37" t="str">
        <f>IF(A51="","",IFERROR(IF(INDEX('Risk Register'!$U$6:$U$105,MATCH(A51,'Risk Register'!$A$6:$A$105,0))="Within appetite","No","Yes"),""))</f>
        <v/>
      </c>
      <c r="G51" s="64" t="str">
        <f>IF(A51="","",SUMIF('Scenario Analysis'!$C$8:$C$57,A51,'Scenario Analysis'!$K$8:$K$57))</f>
        <v/>
      </c>
      <c r="H51" s="37" t="str">
        <f t="shared" si="1"/>
        <v/>
      </c>
    </row>
    <row r="52" spans="1:8" x14ac:dyDescent="0.35">
      <c r="A52" s="35"/>
      <c r="B52" s="35"/>
      <c r="C52" s="44" t="str">
        <f>IF(A52="","",IFERROR(INDEX('Risk Register'!$B$6:$B$105,MATCH(A52,'Risk Register'!$A$6:$A$105,0)),"Unknown Risk ID"))</f>
        <v/>
      </c>
      <c r="D52" s="38" t="str">
        <f>IF(A52="","",IFERROR(INDEX('Risk Register'!$D$6:$D$105,MATCH(A52,'Risk Register'!$A$6:$A$105,0)),""))</f>
        <v/>
      </c>
      <c r="E52" s="37" t="str">
        <f>IF(A52="","",IFERROR(INDEX('Risk Register'!$O$6:$O$105,MATCH(A52,'Risk Register'!$A$6:$A$105,0)),0))</f>
        <v/>
      </c>
      <c r="F52" s="37" t="str">
        <f>IF(A52="","",IFERROR(IF(INDEX('Risk Register'!$U$6:$U$105,MATCH(A52,'Risk Register'!$A$6:$A$105,0))="Within appetite","No","Yes"),""))</f>
        <v/>
      </c>
      <c r="G52" s="64" t="str">
        <f>IF(A52="","",SUMIF('Scenario Analysis'!$C$8:$C$57,A52,'Scenario Analysis'!$K$8:$K$57))</f>
        <v/>
      </c>
      <c r="H52" s="37" t="str">
        <f t="shared" si="1"/>
        <v/>
      </c>
    </row>
    <row r="53" spans="1:8" x14ac:dyDescent="0.35">
      <c r="A53" s="35"/>
      <c r="B53" s="35"/>
      <c r="C53" s="44" t="str">
        <f>IF(A53="","",IFERROR(INDEX('Risk Register'!$B$6:$B$105,MATCH(A53,'Risk Register'!$A$6:$A$105,0)),"Unknown Risk ID"))</f>
        <v/>
      </c>
      <c r="D53" s="38" t="str">
        <f>IF(A53="","",IFERROR(INDEX('Risk Register'!$D$6:$D$105,MATCH(A53,'Risk Register'!$A$6:$A$105,0)),""))</f>
        <v/>
      </c>
      <c r="E53" s="37" t="str">
        <f>IF(A53="","",IFERROR(INDEX('Risk Register'!$O$6:$O$105,MATCH(A53,'Risk Register'!$A$6:$A$105,0)),0))</f>
        <v/>
      </c>
      <c r="F53" s="37" t="str">
        <f>IF(A53="","",IFERROR(IF(INDEX('Risk Register'!$U$6:$U$105,MATCH(A53,'Risk Register'!$A$6:$A$105,0))="Within appetite","No","Yes"),""))</f>
        <v/>
      </c>
      <c r="G53" s="64" t="str">
        <f>IF(A53="","",SUMIF('Scenario Analysis'!$C$8:$C$57,A53,'Scenario Analysis'!$K$8:$K$57))</f>
        <v/>
      </c>
      <c r="H53" s="37" t="str">
        <f t="shared" si="1"/>
        <v/>
      </c>
    </row>
    <row r="54" spans="1:8" x14ac:dyDescent="0.35">
      <c r="A54" s="35"/>
      <c r="B54" s="35"/>
      <c r="C54" s="44" t="str">
        <f>IF(A54="","",IFERROR(INDEX('Risk Register'!$B$6:$B$105,MATCH(A54,'Risk Register'!$A$6:$A$105,0)),"Unknown Risk ID"))</f>
        <v/>
      </c>
      <c r="D54" s="38" t="str">
        <f>IF(A54="","",IFERROR(INDEX('Risk Register'!$D$6:$D$105,MATCH(A54,'Risk Register'!$A$6:$A$105,0)),""))</f>
        <v/>
      </c>
      <c r="E54" s="37" t="str">
        <f>IF(A54="","",IFERROR(INDEX('Risk Register'!$O$6:$O$105,MATCH(A54,'Risk Register'!$A$6:$A$105,0)),0))</f>
        <v/>
      </c>
      <c r="F54" s="37" t="str">
        <f>IF(A54="","",IFERROR(IF(INDEX('Risk Register'!$U$6:$U$105,MATCH(A54,'Risk Register'!$A$6:$A$105,0))="Within appetite","No","Yes"),""))</f>
        <v/>
      </c>
      <c r="G54" s="64" t="str">
        <f>IF(A54="","",SUMIF('Scenario Analysis'!$C$8:$C$57,A54,'Scenario Analysis'!$K$8:$K$57))</f>
        <v/>
      </c>
      <c r="H54" s="37" t="str">
        <f t="shared" si="1"/>
        <v/>
      </c>
    </row>
    <row r="55" spans="1:8" x14ac:dyDescent="0.35">
      <c r="A55" s="35"/>
      <c r="B55" s="35"/>
      <c r="C55" s="44" t="str">
        <f>IF(A55="","",IFERROR(INDEX('Risk Register'!$B$6:$B$105,MATCH(A55,'Risk Register'!$A$6:$A$105,0)),"Unknown Risk ID"))</f>
        <v/>
      </c>
      <c r="D55" s="38" t="str">
        <f>IF(A55="","",IFERROR(INDEX('Risk Register'!$D$6:$D$105,MATCH(A55,'Risk Register'!$A$6:$A$105,0)),""))</f>
        <v/>
      </c>
      <c r="E55" s="37" t="str">
        <f>IF(A55="","",IFERROR(INDEX('Risk Register'!$O$6:$O$105,MATCH(A55,'Risk Register'!$A$6:$A$105,0)),0))</f>
        <v/>
      </c>
      <c r="F55" s="37" t="str">
        <f>IF(A55="","",IFERROR(IF(INDEX('Risk Register'!$U$6:$U$105,MATCH(A55,'Risk Register'!$A$6:$A$105,0))="Within appetite","No","Yes"),""))</f>
        <v/>
      </c>
      <c r="G55" s="64" t="str">
        <f>IF(A55="","",SUMIF('Scenario Analysis'!$C$8:$C$57,A55,'Scenario Analysis'!$K$8:$K$57))</f>
        <v/>
      </c>
      <c r="H55" s="37" t="str">
        <f t="shared" si="1"/>
        <v/>
      </c>
    </row>
    <row r="56" spans="1:8" x14ac:dyDescent="0.35">
      <c r="A56" s="35"/>
      <c r="B56" s="35"/>
      <c r="C56" s="44" t="str">
        <f>IF(A56="","",IFERROR(INDEX('Risk Register'!$B$6:$B$105,MATCH(A56,'Risk Register'!$A$6:$A$105,0)),"Unknown Risk ID"))</f>
        <v/>
      </c>
      <c r="D56" s="38" t="str">
        <f>IF(A56="","",IFERROR(INDEX('Risk Register'!$D$6:$D$105,MATCH(A56,'Risk Register'!$A$6:$A$105,0)),""))</f>
        <v/>
      </c>
      <c r="E56" s="37" t="str">
        <f>IF(A56="","",IFERROR(INDEX('Risk Register'!$O$6:$O$105,MATCH(A56,'Risk Register'!$A$6:$A$105,0)),0))</f>
        <v/>
      </c>
      <c r="F56" s="37" t="str">
        <f>IF(A56="","",IFERROR(IF(INDEX('Risk Register'!$U$6:$U$105,MATCH(A56,'Risk Register'!$A$6:$A$105,0))="Within appetite","No","Yes"),""))</f>
        <v/>
      </c>
      <c r="G56" s="64" t="str">
        <f>IF(A56="","",SUMIF('Scenario Analysis'!$C$8:$C$57,A56,'Scenario Analysis'!$K$8:$K$57))</f>
        <v/>
      </c>
      <c r="H56" s="37" t="str">
        <f t="shared" si="1"/>
        <v/>
      </c>
    </row>
    <row r="57" spans="1:8" x14ac:dyDescent="0.35">
      <c r="A57" s="35"/>
      <c r="B57" s="35"/>
      <c r="C57" s="44" t="str">
        <f>IF(A57="","",IFERROR(INDEX('Risk Register'!$B$6:$B$105,MATCH(A57,'Risk Register'!$A$6:$A$105,0)),"Unknown Risk ID"))</f>
        <v/>
      </c>
      <c r="D57" s="38" t="str">
        <f>IF(A57="","",IFERROR(INDEX('Risk Register'!$D$6:$D$105,MATCH(A57,'Risk Register'!$A$6:$A$105,0)),""))</f>
        <v/>
      </c>
      <c r="E57" s="37" t="str">
        <f>IF(A57="","",IFERROR(INDEX('Risk Register'!$O$6:$O$105,MATCH(A57,'Risk Register'!$A$6:$A$105,0)),0))</f>
        <v/>
      </c>
      <c r="F57" s="37" t="str">
        <f>IF(A57="","",IFERROR(IF(INDEX('Risk Register'!$U$6:$U$105,MATCH(A57,'Risk Register'!$A$6:$A$105,0))="Within appetite","No","Yes"),""))</f>
        <v/>
      </c>
      <c r="G57" s="64" t="str">
        <f>IF(A57="","",SUMIF('Scenario Analysis'!$C$8:$C$57,A57,'Scenario Analysis'!$K$8:$K$57))</f>
        <v/>
      </c>
      <c r="H57" s="37" t="str">
        <f t="shared" si="1"/>
        <v/>
      </c>
    </row>
    <row r="58" spans="1:8" x14ac:dyDescent="0.35">
      <c r="A58" s="35"/>
      <c r="B58" s="35"/>
      <c r="C58" s="44" t="str">
        <f>IF(A58="","",IFERROR(INDEX('Risk Register'!$B$6:$B$105,MATCH(A58,'Risk Register'!$A$6:$A$105,0)),"Unknown Risk ID"))</f>
        <v/>
      </c>
      <c r="D58" s="38" t="str">
        <f>IF(A58="","",IFERROR(INDEX('Risk Register'!$D$6:$D$105,MATCH(A58,'Risk Register'!$A$6:$A$105,0)),""))</f>
        <v/>
      </c>
      <c r="E58" s="37" t="str">
        <f>IF(A58="","",IFERROR(INDEX('Risk Register'!$O$6:$O$105,MATCH(A58,'Risk Register'!$A$6:$A$105,0)),0))</f>
        <v/>
      </c>
      <c r="F58" s="37" t="str">
        <f>IF(A58="","",IFERROR(IF(INDEX('Risk Register'!$U$6:$U$105,MATCH(A58,'Risk Register'!$A$6:$A$105,0))="Within appetite","No","Yes"),""))</f>
        <v/>
      </c>
      <c r="G58" s="64" t="str">
        <f>IF(A58="","",SUMIF('Scenario Analysis'!$C$8:$C$57,A58,'Scenario Analysis'!$K$8:$K$57))</f>
        <v/>
      </c>
      <c r="H58" s="37" t="str">
        <f t="shared" si="1"/>
        <v/>
      </c>
    </row>
    <row r="59" spans="1:8" x14ac:dyDescent="0.35">
      <c r="A59" s="35"/>
      <c r="B59" s="35"/>
      <c r="C59" s="44" t="str">
        <f>IF(A59="","",IFERROR(INDEX('Risk Register'!$B$6:$B$105,MATCH(A59,'Risk Register'!$A$6:$A$105,0)),"Unknown Risk ID"))</f>
        <v/>
      </c>
      <c r="D59" s="38" t="str">
        <f>IF(A59="","",IFERROR(INDEX('Risk Register'!$D$6:$D$105,MATCH(A59,'Risk Register'!$A$6:$A$105,0)),""))</f>
        <v/>
      </c>
      <c r="E59" s="37" t="str">
        <f>IF(A59="","",IFERROR(INDEX('Risk Register'!$O$6:$O$105,MATCH(A59,'Risk Register'!$A$6:$A$105,0)),0))</f>
        <v/>
      </c>
      <c r="F59" s="37" t="str">
        <f>IF(A59="","",IFERROR(IF(INDEX('Risk Register'!$U$6:$U$105,MATCH(A59,'Risk Register'!$A$6:$A$105,0))="Within appetite","No","Yes"),""))</f>
        <v/>
      </c>
      <c r="G59" s="64" t="str">
        <f>IF(A59="","",SUMIF('Scenario Analysis'!$C$8:$C$57,A59,'Scenario Analysis'!$K$8:$K$57))</f>
        <v/>
      </c>
      <c r="H59" s="37" t="str">
        <f t="shared" si="1"/>
        <v/>
      </c>
    </row>
    <row r="60" spans="1:8" x14ac:dyDescent="0.35">
      <c r="A60" s="35"/>
      <c r="B60" s="35"/>
      <c r="C60" s="44" t="str">
        <f>IF(A60="","",IFERROR(INDEX('Risk Register'!$B$6:$B$105,MATCH(A60,'Risk Register'!$A$6:$A$105,0)),"Unknown Risk ID"))</f>
        <v/>
      </c>
      <c r="D60" s="38" t="str">
        <f>IF(A60="","",IFERROR(INDEX('Risk Register'!$D$6:$D$105,MATCH(A60,'Risk Register'!$A$6:$A$105,0)),""))</f>
        <v/>
      </c>
      <c r="E60" s="37" t="str">
        <f>IF(A60="","",IFERROR(INDEX('Risk Register'!$O$6:$O$105,MATCH(A60,'Risk Register'!$A$6:$A$105,0)),0))</f>
        <v/>
      </c>
      <c r="F60" s="37" t="str">
        <f>IF(A60="","",IFERROR(IF(INDEX('Risk Register'!$U$6:$U$105,MATCH(A60,'Risk Register'!$A$6:$A$105,0))="Within appetite","No","Yes"),""))</f>
        <v/>
      </c>
      <c r="G60" s="64" t="str">
        <f>IF(A60="","",SUMIF('Scenario Analysis'!$C$8:$C$57,A60,'Scenario Analysis'!$K$8:$K$57))</f>
        <v/>
      </c>
      <c r="H60" s="37" t="str">
        <f t="shared" si="1"/>
        <v/>
      </c>
    </row>
    <row r="61" spans="1:8" x14ac:dyDescent="0.35">
      <c r="A61" s="35"/>
      <c r="B61" s="35"/>
      <c r="C61" s="44" t="str">
        <f>IF(A61="","",IFERROR(INDEX('Risk Register'!$B$6:$B$105,MATCH(A61,'Risk Register'!$A$6:$A$105,0)),"Unknown Risk ID"))</f>
        <v/>
      </c>
      <c r="D61" s="38" t="str">
        <f>IF(A61="","",IFERROR(INDEX('Risk Register'!$D$6:$D$105,MATCH(A61,'Risk Register'!$A$6:$A$105,0)),""))</f>
        <v/>
      </c>
      <c r="E61" s="37" t="str">
        <f>IF(A61="","",IFERROR(INDEX('Risk Register'!$O$6:$O$105,MATCH(A61,'Risk Register'!$A$6:$A$105,0)),0))</f>
        <v/>
      </c>
      <c r="F61" s="37" t="str">
        <f>IF(A61="","",IFERROR(IF(INDEX('Risk Register'!$U$6:$U$105,MATCH(A61,'Risk Register'!$A$6:$A$105,0))="Within appetite","No","Yes"),""))</f>
        <v/>
      </c>
      <c r="G61" s="64" t="str">
        <f>IF(A61="","",SUMIF('Scenario Analysis'!$C$8:$C$57,A61,'Scenario Analysis'!$K$8:$K$57))</f>
        <v/>
      </c>
      <c r="H61" s="37" t="str">
        <f t="shared" si="1"/>
        <v/>
      </c>
    </row>
    <row r="62" spans="1:8" x14ac:dyDescent="0.35">
      <c r="A62" s="35"/>
      <c r="B62" s="35"/>
      <c r="C62" s="44" t="str">
        <f>IF(A62="","",IFERROR(INDEX('Risk Register'!$B$6:$B$105,MATCH(A62,'Risk Register'!$A$6:$A$105,0)),"Unknown Risk ID"))</f>
        <v/>
      </c>
      <c r="D62" s="38" t="str">
        <f>IF(A62="","",IFERROR(INDEX('Risk Register'!$D$6:$D$105,MATCH(A62,'Risk Register'!$A$6:$A$105,0)),""))</f>
        <v/>
      </c>
      <c r="E62" s="37" t="str">
        <f>IF(A62="","",IFERROR(INDEX('Risk Register'!$O$6:$O$105,MATCH(A62,'Risk Register'!$A$6:$A$105,0)),0))</f>
        <v/>
      </c>
      <c r="F62" s="37" t="str">
        <f>IF(A62="","",IFERROR(IF(INDEX('Risk Register'!$U$6:$U$105,MATCH(A62,'Risk Register'!$A$6:$A$105,0))="Within appetite","No","Yes"),""))</f>
        <v/>
      </c>
      <c r="G62" s="64" t="str">
        <f>IF(A62="","",SUMIF('Scenario Analysis'!$C$8:$C$57,A62,'Scenario Analysis'!$K$8:$K$57))</f>
        <v/>
      </c>
      <c r="H62" s="37" t="str">
        <f t="shared" si="1"/>
        <v/>
      </c>
    </row>
    <row r="63" spans="1:8" x14ac:dyDescent="0.35">
      <c r="A63" s="35"/>
      <c r="B63" s="35"/>
      <c r="C63" s="44" t="str">
        <f>IF(A63="","",IFERROR(INDEX('Risk Register'!$B$6:$B$105,MATCH(A63,'Risk Register'!$A$6:$A$105,0)),"Unknown Risk ID"))</f>
        <v/>
      </c>
      <c r="D63" s="38" t="str">
        <f>IF(A63="","",IFERROR(INDEX('Risk Register'!$D$6:$D$105,MATCH(A63,'Risk Register'!$A$6:$A$105,0)),""))</f>
        <v/>
      </c>
      <c r="E63" s="37" t="str">
        <f>IF(A63="","",IFERROR(INDEX('Risk Register'!$O$6:$O$105,MATCH(A63,'Risk Register'!$A$6:$A$105,0)),0))</f>
        <v/>
      </c>
      <c r="F63" s="37" t="str">
        <f>IF(A63="","",IFERROR(IF(INDEX('Risk Register'!$U$6:$U$105,MATCH(A63,'Risk Register'!$A$6:$A$105,0))="Within appetite","No","Yes"),""))</f>
        <v/>
      </c>
      <c r="G63" s="64" t="str">
        <f>IF(A63="","",SUMIF('Scenario Analysis'!$C$8:$C$57,A63,'Scenario Analysis'!$K$8:$K$57))</f>
        <v/>
      </c>
      <c r="H63" s="37" t="str">
        <f t="shared" si="1"/>
        <v/>
      </c>
    </row>
    <row r="64" spans="1:8" x14ac:dyDescent="0.35">
      <c r="A64" s="35"/>
      <c r="B64" s="35"/>
      <c r="C64" s="44" t="str">
        <f>IF(A64="","",IFERROR(INDEX('Risk Register'!$B$6:$B$105,MATCH(A64,'Risk Register'!$A$6:$A$105,0)),"Unknown Risk ID"))</f>
        <v/>
      </c>
      <c r="D64" s="38" t="str">
        <f>IF(A64="","",IFERROR(INDEX('Risk Register'!$D$6:$D$105,MATCH(A64,'Risk Register'!$A$6:$A$105,0)),""))</f>
        <v/>
      </c>
      <c r="E64" s="37" t="str">
        <f>IF(A64="","",IFERROR(INDEX('Risk Register'!$O$6:$O$105,MATCH(A64,'Risk Register'!$A$6:$A$105,0)),0))</f>
        <v/>
      </c>
      <c r="F64" s="37" t="str">
        <f>IF(A64="","",IFERROR(IF(INDEX('Risk Register'!$U$6:$U$105,MATCH(A64,'Risk Register'!$A$6:$A$105,0))="Within appetite","No","Yes"),""))</f>
        <v/>
      </c>
      <c r="G64" s="64" t="str">
        <f>IF(A64="","",SUMIF('Scenario Analysis'!$C$8:$C$57,A64,'Scenario Analysis'!$K$8:$K$57))</f>
        <v/>
      </c>
      <c r="H64" s="37" t="str">
        <f t="shared" si="1"/>
        <v/>
      </c>
    </row>
    <row r="65" spans="1:8" x14ac:dyDescent="0.35">
      <c r="A65" s="35"/>
      <c r="B65" s="35"/>
      <c r="C65" s="44" t="str">
        <f>IF(A65="","",IFERROR(INDEX('Risk Register'!$B$6:$B$105,MATCH(A65,'Risk Register'!$A$6:$A$105,0)),"Unknown Risk ID"))</f>
        <v/>
      </c>
      <c r="D65" s="38" t="str">
        <f>IF(A65="","",IFERROR(INDEX('Risk Register'!$D$6:$D$105,MATCH(A65,'Risk Register'!$A$6:$A$105,0)),""))</f>
        <v/>
      </c>
      <c r="E65" s="37" t="str">
        <f>IF(A65="","",IFERROR(INDEX('Risk Register'!$O$6:$O$105,MATCH(A65,'Risk Register'!$A$6:$A$105,0)),0))</f>
        <v/>
      </c>
      <c r="F65" s="37" t="str">
        <f>IF(A65="","",IFERROR(IF(INDEX('Risk Register'!$U$6:$U$105,MATCH(A65,'Risk Register'!$A$6:$A$105,0))="Within appetite","No","Yes"),""))</f>
        <v/>
      </c>
      <c r="G65" s="64" t="str">
        <f>IF(A65="","",SUMIF('Scenario Analysis'!$C$8:$C$57,A65,'Scenario Analysis'!$K$8:$K$57))</f>
        <v/>
      </c>
      <c r="H65" s="37" t="str">
        <f t="shared" si="1"/>
        <v/>
      </c>
    </row>
    <row r="66" spans="1:8" x14ac:dyDescent="0.35">
      <c r="A66" s="35"/>
      <c r="B66" s="35"/>
      <c r="C66" s="44" t="str">
        <f>IF(A66="","",IFERROR(INDEX('Risk Register'!$B$6:$B$105,MATCH(A66,'Risk Register'!$A$6:$A$105,0)),"Unknown Risk ID"))</f>
        <v/>
      </c>
      <c r="D66" s="38" t="str">
        <f>IF(A66="","",IFERROR(INDEX('Risk Register'!$D$6:$D$105,MATCH(A66,'Risk Register'!$A$6:$A$105,0)),""))</f>
        <v/>
      </c>
      <c r="E66" s="37" t="str">
        <f>IF(A66="","",IFERROR(INDEX('Risk Register'!$O$6:$O$105,MATCH(A66,'Risk Register'!$A$6:$A$105,0)),0))</f>
        <v/>
      </c>
      <c r="F66" s="37" t="str">
        <f>IF(A66="","",IFERROR(IF(INDEX('Risk Register'!$U$6:$U$105,MATCH(A66,'Risk Register'!$A$6:$A$105,0))="Within appetite","No","Yes"),""))</f>
        <v/>
      </c>
      <c r="G66" s="64" t="str">
        <f>IF(A66="","",SUMIF('Scenario Analysis'!$C$8:$C$57,A66,'Scenario Analysis'!$K$8:$K$57))</f>
        <v/>
      </c>
      <c r="H66" s="37" t="str">
        <f t="shared" si="1"/>
        <v/>
      </c>
    </row>
    <row r="67" spans="1:8" x14ac:dyDescent="0.35">
      <c r="A67" s="35"/>
      <c r="B67" s="35"/>
      <c r="C67" s="44" t="str">
        <f>IF(A67="","",IFERROR(INDEX('Risk Register'!$B$6:$B$105,MATCH(A67,'Risk Register'!$A$6:$A$105,0)),"Unknown Risk ID"))</f>
        <v/>
      </c>
      <c r="D67" s="38" t="str">
        <f>IF(A67="","",IFERROR(INDEX('Risk Register'!$D$6:$D$105,MATCH(A67,'Risk Register'!$A$6:$A$105,0)),""))</f>
        <v/>
      </c>
      <c r="E67" s="37" t="str">
        <f>IF(A67="","",IFERROR(INDEX('Risk Register'!$O$6:$O$105,MATCH(A67,'Risk Register'!$A$6:$A$105,0)),0))</f>
        <v/>
      </c>
      <c r="F67" s="37" t="str">
        <f>IF(A67="","",IFERROR(IF(INDEX('Risk Register'!$U$6:$U$105,MATCH(A67,'Risk Register'!$A$6:$A$105,0))="Within appetite","No","Yes"),""))</f>
        <v/>
      </c>
      <c r="G67" s="64" t="str">
        <f>IF(A67="","",SUMIF('Scenario Analysis'!$C$8:$C$57,A67,'Scenario Analysis'!$K$8:$K$57))</f>
        <v/>
      </c>
      <c r="H67" s="37" t="str">
        <f t="shared" si="1"/>
        <v/>
      </c>
    </row>
    <row r="68" spans="1:8" x14ac:dyDescent="0.35">
      <c r="A68" s="35"/>
      <c r="B68" s="35"/>
      <c r="C68" s="44" t="str">
        <f>IF(A68="","",IFERROR(INDEX('Risk Register'!$B$6:$B$105,MATCH(A68,'Risk Register'!$A$6:$A$105,0)),"Unknown Risk ID"))</f>
        <v/>
      </c>
      <c r="D68" s="38" t="str">
        <f>IF(A68="","",IFERROR(INDEX('Risk Register'!$D$6:$D$105,MATCH(A68,'Risk Register'!$A$6:$A$105,0)),""))</f>
        <v/>
      </c>
      <c r="E68" s="37" t="str">
        <f>IF(A68="","",IFERROR(INDEX('Risk Register'!$O$6:$O$105,MATCH(A68,'Risk Register'!$A$6:$A$105,0)),0))</f>
        <v/>
      </c>
      <c r="F68" s="37" t="str">
        <f>IF(A68="","",IFERROR(IF(INDEX('Risk Register'!$U$6:$U$105,MATCH(A68,'Risk Register'!$A$6:$A$105,0))="Within appetite","No","Yes"),""))</f>
        <v/>
      </c>
      <c r="G68" s="64" t="str">
        <f>IF(A68="","",SUMIF('Scenario Analysis'!$C$8:$C$57,A68,'Scenario Analysis'!$K$8:$K$57))</f>
        <v/>
      </c>
      <c r="H68" s="37" t="str">
        <f t="shared" si="1"/>
        <v/>
      </c>
    </row>
    <row r="69" spans="1:8" x14ac:dyDescent="0.35">
      <c r="A69" s="35"/>
      <c r="B69" s="35"/>
      <c r="C69" s="44" t="str">
        <f>IF(A69="","",IFERROR(INDEX('Risk Register'!$B$6:$B$105,MATCH(A69,'Risk Register'!$A$6:$A$105,0)),"Unknown Risk ID"))</f>
        <v/>
      </c>
      <c r="D69" s="38" t="str">
        <f>IF(A69="","",IFERROR(INDEX('Risk Register'!$D$6:$D$105,MATCH(A69,'Risk Register'!$A$6:$A$105,0)),""))</f>
        <v/>
      </c>
      <c r="E69" s="37" t="str">
        <f>IF(A69="","",IFERROR(INDEX('Risk Register'!$O$6:$O$105,MATCH(A69,'Risk Register'!$A$6:$A$105,0)),0))</f>
        <v/>
      </c>
      <c r="F69" s="37" t="str">
        <f>IF(A69="","",IFERROR(IF(INDEX('Risk Register'!$U$6:$U$105,MATCH(A69,'Risk Register'!$A$6:$A$105,0))="Within appetite","No","Yes"),""))</f>
        <v/>
      </c>
      <c r="G69" s="64" t="str">
        <f>IF(A69="","",SUMIF('Scenario Analysis'!$C$8:$C$57,A69,'Scenario Analysis'!$K$8:$K$57))</f>
        <v/>
      </c>
      <c r="H69" s="37" t="str">
        <f t="shared" si="1"/>
        <v/>
      </c>
    </row>
    <row r="70" spans="1:8" x14ac:dyDescent="0.35">
      <c r="A70" s="35"/>
      <c r="B70" s="35"/>
      <c r="C70" s="44" t="str">
        <f>IF(A70="","",IFERROR(INDEX('Risk Register'!$B$6:$B$105,MATCH(A70,'Risk Register'!$A$6:$A$105,0)),"Unknown Risk ID"))</f>
        <v/>
      </c>
      <c r="D70" s="38" t="str">
        <f>IF(A70="","",IFERROR(INDEX('Risk Register'!$D$6:$D$105,MATCH(A70,'Risk Register'!$A$6:$A$105,0)),""))</f>
        <v/>
      </c>
      <c r="E70" s="37" t="str">
        <f>IF(A70="","",IFERROR(INDEX('Risk Register'!$O$6:$O$105,MATCH(A70,'Risk Register'!$A$6:$A$105,0)),0))</f>
        <v/>
      </c>
      <c r="F70" s="37" t="str">
        <f>IF(A70="","",IFERROR(IF(INDEX('Risk Register'!$U$6:$U$105,MATCH(A70,'Risk Register'!$A$6:$A$105,0))="Within appetite","No","Yes"),""))</f>
        <v/>
      </c>
      <c r="G70" s="64" t="str">
        <f>IF(A70="","",SUMIF('Scenario Analysis'!$C$8:$C$57,A70,'Scenario Analysis'!$K$8:$K$57))</f>
        <v/>
      </c>
      <c r="H70" s="37" t="str">
        <f t="shared" ref="H70:H101" si="2">IF(OR(A70="",B70=""),"",IF(COUNTIFS($A$6:$A$205,A70,$B$6:$B$205,B70)&gt;1,"Duplicate",""))</f>
        <v/>
      </c>
    </row>
    <row r="71" spans="1:8" x14ac:dyDescent="0.35">
      <c r="A71" s="35"/>
      <c r="B71" s="35"/>
      <c r="C71" s="44" t="str">
        <f>IF(A71="","",IFERROR(INDEX('Risk Register'!$B$6:$B$105,MATCH(A71,'Risk Register'!$A$6:$A$105,0)),"Unknown Risk ID"))</f>
        <v/>
      </c>
      <c r="D71" s="38" t="str">
        <f>IF(A71="","",IFERROR(INDEX('Risk Register'!$D$6:$D$105,MATCH(A71,'Risk Register'!$A$6:$A$105,0)),""))</f>
        <v/>
      </c>
      <c r="E71" s="37" t="str">
        <f>IF(A71="","",IFERROR(INDEX('Risk Register'!$O$6:$O$105,MATCH(A71,'Risk Register'!$A$6:$A$105,0)),0))</f>
        <v/>
      </c>
      <c r="F71" s="37" t="str">
        <f>IF(A71="","",IFERROR(IF(INDEX('Risk Register'!$U$6:$U$105,MATCH(A71,'Risk Register'!$A$6:$A$105,0))="Within appetite","No","Yes"),""))</f>
        <v/>
      </c>
      <c r="G71" s="64" t="str">
        <f>IF(A71="","",SUMIF('Scenario Analysis'!$C$8:$C$57,A71,'Scenario Analysis'!$K$8:$K$57))</f>
        <v/>
      </c>
      <c r="H71" s="37" t="str">
        <f t="shared" si="2"/>
        <v/>
      </c>
    </row>
    <row r="72" spans="1:8" x14ac:dyDescent="0.35">
      <c r="A72" s="35"/>
      <c r="B72" s="35"/>
      <c r="C72" s="44" t="str">
        <f>IF(A72="","",IFERROR(INDEX('Risk Register'!$B$6:$B$105,MATCH(A72,'Risk Register'!$A$6:$A$105,0)),"Unknown Risk ID"))</f>
        <v/>
      </c>
      <c r="D72" s="38" t="str">
        <f>IF(A72="","",IFERROR(INDEX('Risk Register'!$D$6:$D$105,MATCH(A72,'Risk Register'!$A$6:$A$105,0)),""))</f>
        <v/>
      </c>
      <c r="E72" s="37" t="str">
        <f>IF(A72="","",IFERROR(INDEX('Risk Register'!$O$6:$O$105,MATCH(A72,'Risk Register'!$A$6:$A$105,0)),0))</f>
        <v/>
      </c>
      <c r="F72" s="37" t="str">
        <f>IF(A72="","",IFERROR(IF(INDEX('Risk Register'!$U$6:$U$105,MATCH(A72,'Risk Register'!$A$6:$A$105,0))="Within appetite","No","Yes"),""))</f>
        <v/>
      </c>
      <c r="G72" s="64" t="str">
        <f>IF(A72="","",SUMIF('Scenario Analysis'!$C$8:$C$57,A72,'Scenario Analysis'!$K$8:$K$57))</f>
        <v/>
      </c>
      <c r="H72" s="37" t="str">
        <f t="shared" si="2"/>
        <v/>
      </c>
    </row>
    <row r="73" spans="1:8" x14ac:dyDescent="0.35">
      <c r="A73" s="35"/>
      <c r="B73" s="35"/>
      <c r="C73" s="44" t="str">
        <f>IF(A73="","",IFERROR(INDEX('Risk Register'!$B$6:$B$105,MATCH(A73,'Risk Register'!$A$6:$A$105,0)),"Unknown Risk ID"))</f>
        <v/>
      </c>
      <c r="D73" s="38" t="str">
        <f>IF(A73="","",IFERROR(INDEX('Risk Register'!$D$6:$D$105,MATCH(A73,'Risk Register'!$A$6:$A$105,0)),""))</f>
        <v/>
      </c>
      <c r="E73" s="37" t="str">
        <f>IF(A73="","",IFERROR(INDEX('Risk Register'!$O$6:$O$105,MATCH(A73,'Risk Register'!$A$6:$A$105,0)),0))</f>
        <v/>
      </c>
      <c r="F73" s="37" t="str">
        <f>IF(A73="","",IFERROR(IF(INDEX('Risk Register'!$U$6:$U$105,MATCH(A73,'Risk Register'!$A$6:$A$105,0))="Within appetite","No","Yes"),""))</f>
        <v/>
      </c>
      <c r="G73" s="64" t="str">
        <f>IF(A73="","",SUMIF('Scenario Analysis'!$C$8:$C$57,A73,'Scenario Analysis'!$K$8:$K$57))</f>
        <v/>
      </c>
      <c r="H73" s="37" t="str">
        <f t="shared" si="2"/>
        <v/>
      </c>
    </row>
    <row r="74" spans="1:8" x14ac:dyDescent="0.35">
      <c r="A74" s="35"/>
      <c r="B74" s="35"/>
      <c r="C74" s="44" t="str">
        <f>IF(A74="","",IFERROR(INDEX('Risk Register'!$B$6:$B$105,MATCH(A74,'Risk Register'!$A$6:$A$105,0)),"Unknown Risk ID"))</f>
        <v/>
      </c>
      <c r="D74" s="38" t="str">
        <f>IF(A74="","",IFERROR(INDEX('Risk Register'!$D$6:$D$105,MATCH(A74,'Risk Register'!$A$6:$A$105,0)),""))</f>
        <v/>
      </c>
      <c r="E74" s="37" t="str">
        <f>IF(A74="","",IFERROR(INDEX('Risk Register'!$O$6:$O$105,MATCH(A74,'Risk Register'!$A$6:$A$105,0)),0))</f>
        <v/>
      </c>
      <c r="F74" s="37" t="str">
        <f>IF(A74="","",IFERROR(IF(INDEX('Risk Register'!$U$6:$U$105,MATCH(A74,'Risk Register'!$A$6:$A$105,0))="Within appetite","No","Yes"),""))</f>
        <v/>
      </c>
      <c r="G74" s="64" t="str">
        <f>IF(A74="","",SUMIF('Scenario Analysis'!$C$8:$C$57,A74,'Scenario Analysis'!$K$8:$K$57))</f>
        <v/>
      </c>
      <c r="H74" s="37" t="str">
        <f t="shared" si="2"/>
        <v/>
      </c>
    </row>
    <row r="75" spans="1:8" x14ac:dyDescent="0.35">
      <c r="A75" s="35"/>
      <c r="B75" s="35"/>
      <c r="C75" s="44" t="str">
        <f>IF(A75="","",IFERROR(INDEX('Risk Register'!$B$6:$B$105,MATCH(A75,'Risk Register'!$A$6:$A$105,0)),"Unknown Risk ID"))</f>
        <v/>
      </c>
      <c r="D75" s="38" t="str">
        <f>IF(A75="","",IFERROR(INDEX('Risk Register'!$D$6:$D$105,MATCH(A75,'Risk Register'!$A$6:$A$105,0)),""))</f>
        <v/>
      </c>
      <c r="E75" s="37" t="str">
        <f>IF(A75="","",IFERROR(INDEX('Risk Register'!$O$6:$O$105,MATCH(A75,'Risk Register'!$A$6:$A$105,0)),0))</f>
        <v/>
      </c>
      <c r="F75" s="37" t="str">
        <f>IF(A75="","",IFERROR(IF(INDEX('Risk Register'!$U$6:$U$105,MATCH(A75,'Risk Register'!$A$6:$A$105,0))="Within appetite","No","Yes"),""))</f>
        <v/>
      </c>
      <c r="G75" s="64" t="str">
        <f>IF(A75="","",SUMIF('Scenario Analysis'!$C$8:$C$57,A75,'Scenario Analysis'!$K$8:$K$57))</f>
        <v/>
      </c>
      <c r="H75" s="37" t="str">
        <f t="shared" si="2"/>
        <v/>
      </c>
    </row>
    <row r="76" spans="1:8" x14ac:dyDescent="0.35">
      <c r="A76" s="35"/>
      <c r="B76" s="35"/>
      <c r="C76" s="44" t="str">
        <f>IF(A76="","",IFERROR(INDEX('Risk Register'!$B$6:$B$105,MATCH(A76,'Risk Register'!$A$6:$A$105,0)),"Unknown Risk ID"))</f>
        <v/>
      </c>
      <c r="D76" s="38" t="str">
        <f>IF(A76="","",IFERROR(INDEX('Risk Register'!$D$6:$D$105,MATCH(A76,'Risk Register'!$A$6:$A$105,0)),""))</f>
        <v/>
      </c>
      <c r="E76" s="37" t="str">
        <f>IF(A76="","",IFERROR(INDEX('Risk Register'!$O$6:$O$105,MATCH(A76,'Risk Register'!$A$6:$A$105,0)),0))</f>
        <v/>
      </c>
      <c r="F76" s="37" t="str">
        <f>IF(A76="","",IFERROR(IF(INDEX('Risk Register'!$U$6:$U$105,MATCH(A76,'Risk Register'!$A$6:$A$105,0))="Within appetite","No","Yes"),""))</f>
        <v/>
      </c>
      <c r="G76" s="64" t="str">
        <f>IF(A76="","",SUMIF('Scenario Analysis'!$C$8:$C$57,A76,'Scenario Analysis'!$K$8:$K$57))</f>
        <v/>
      </c>
      <c r="H76" s="37" t="str">
        <f t="shared" si="2"/>
        <v/>
      </c>
    </row>
    <row r="77" spans="1:8" x14ac:dyDescent="0.35">
      <c r="A77" s="35"/>
      <c r="B77" s="35"/>
      <c r="C77" s="44" t="str">
        <f>IF(A77="","",IFERROR(INDEX('Risk Register'!$B$6:$B$105,MATCH(A77,'Risk Register'!$A$6:$A$105,0)),"Unknown Risk ID"))</f>
        <v/>
      </c>
      <c r="D77" s="38" t="str">
        <f>IF(A77="","",IFERROR(INDEX('Risk Register'!$D$6:$D$105,MATCH(A77,'Risk Register'!$A$6:$A$105,0)),""))</f>
        <v/>
      </c>
      <c r="E77" s="37" t="str">
        <f>IF(A77="","",IFERROR(INDEX('Risk Register'!$O$6:$O$105,MATCH(A77,'Risk Register'!$A$6:$A$105,0)),0))</f>
        <v/>
      </c>
      <c r="F77" s="37" t="str">
        <f>IF(A77="","",IFERROR(IF(INDEX('Risk Register'!$U$6:$U$105,MATCH(A77,'Risk Register'!$A$6:$A$105,0))="Within appetite","No","Yes"),""))</f>
        <v/>
      </c>
      <c r="G77" s="64" t="str">
        <f>IF(A77="","",SUMIF('Scenario Analysis'!$C$8:$C$57,A77,'Scenario Analysis'!$K$8:$K$57))</f>
        <v/>
      </c>
      <c r="H77" s="37" t="str">
        <f t="shared" si="2"/>
        <v/>
      </c>
    </row>
    <row r="78" spans="1:8" x14ac:dyDescent="0.35">
      <c r="A78" s="35"/>
      <c r="B78" s="35"/>
      <c r="C78" s="44" t="str">
        <f>IF(A78="","",IFERROR(INDEX('Risk Register'!$B$6:$B$105,MATCH(A78,'Risk Register'!$A$6:$A$105,0)),"Unknown Risk ID"))</f>
        <v/>
      </c>
      <c r="D78" s="38" t="str">
        <f>IF(A78="","",IFERROR(INDEX('Risk Register'!$D$6:$D$105,MATCH(A78,'Risk Register'!$A$6:$A$105,0)),""))</f>
        <v/>
      </c>
      <c r="E78" s="37" t="str">
        <f>IF(A78="","",IFERROR(INDEX('Risk Register'!$O$6:$O$105,MATCH(A78,'Risk Register'!$A$6:$A$105,0)),0))</f>
        <v/>
      </c>
      <c r="F78" s="37" t="str">
        <f>IF(A78="","",IFERROR(IF(INDEX('Risk Register'!$U$6:$U$105,MATCH(A78,'Risk Register'!$A$6:$A$105,0))="Within appetite","No","Yes"),""))</f>
        <v/>
      </c>
      <c r="G78" s="64" t="str">
        <f>IF(A78="","",SUMIF('Scenario Analysis'!$C$8:$C$57,A78,'Scenario Analysis'!$K$8:$K$57))</f>
        <v/>
      </c>
      <c r="H78" s="37" t="str">
        <f t="shared" si="2"/>
        <v/>
      </c>
    </row>
    <row r="79" spans="1:8" x14ac:dyDescent="0.35">
      <c r="A79" s="35"/>
      <c r="B79" s="35"/>
      <c r="C79" s="44" t="str">
        <f>IF(A79="","",IFERROR(INDEX('Risk Register'!$B$6:$B$105,MATCH(A79,'Risk Register'!$A$6:$A$105,0)),"Unknown Risk ID"))</f>
        <v/>
      </c>
      <c r="D79" s="38" t="str">
        <f>IF(A79="","",IFERROR(INDEX('Risk Register'!$D$6:$D$105,MATCH(A79,'Risk Register'!$A$6:$A$105,0)),""))</f>
        <v/>
      </c>
      <c r="E79" s="37" t="str">
        <f>IF(A79="","",IFERROR(INDEX('Risk Register'!$O$6:$O$105,MATCH(A79,'Risk Register'!$A$6:$A$105,0)),0))</f>
        <v/>
      </c>
      <c r="F79" s="37" t="str">
        <f>IF(A79="","",IFERROR(IF(INDEX('Risk Register'!$U$6:$U$105,MATCH(A79,'Risk Register'!$A$6:$A$105,0))="Within appetite","No","Yes"),""))</f>
        <v/>
      </c>
      <c r="G79" s="64" t="str">
        <f>IF(A79="","",SUMIF('Scenario Analysis'!$C$8:$C$57,A79,'Scenario Analysis'!$K$8:$K$57))</f>
        <v/>
      </c>
      <c r="H79" s="37" t="str">
        <f t="shared" si="2"/>
        <v/>
      </c>
    </row>
    <row r="80" spans="1:8" x14ac:dyDescent="0.35">
      <c r="A80" s="35"/>
      <c r="B80" s="35"/>
      <c r="C80" s="44" t="str">
        <f>IF(A80="","",IFERROR(INDEX('Risk Register'!$B$6:$B$105,MATCH(A80,'Risk Register'!$A$6:$A$105,0)),"Unknown Risk ID"))</f>
        <v/>
      </c>
      <c r="D80" s="38" t="str">
        <f>IF(A80="","",IFERROR(INDEX('Risk Register'!$D$6:$D$105,MATCH(A80,'Risk Register'!$A$6:$A$105,0)),""))</f>
        <v/>
      </c>
      <c r="E80" s="37" t="str">
        <f>IF(A80="","",IFERROR(INDEX('Risk Register'!$O$6:$O$105,MATCH(A80,'Risk Register'!$A$6:$A$105,0)),0))</f>
        <v/>
      </c>
      <c r="F80" s="37" t="str">
        <f>IF(A80="","",IFERROR(IF(INDEX('Risk Register'!$U$6:$U$105,MATCH(A80,'Risk Register'!$A$6:$A$105,0))="Within appetite","No","Yes"),""))</f>
        <v/>
      </c>
      <c r="G80" s="64" t="str">
        <f>IF(A80="","",SUMIF('Scenario Analysis'!$C$8:$C$57,A80,'Scenario Analysis'!$K$8:$K$57))</f>
        <v/>
      </c>
      <c r="H80" s="37" t="str">
        <f t="shared" si="2"/>
        <v/>
      </c>
    </row>
    <row r="81" spans="1:8" x14ac:dyDescent="0.35">
      <c r="A81" s="35"/>
      <c r="B81" s="35"/>
      <c r="C81" s="44" t="str">
        <f>IF(A81="","",IFERROR(INDEX('Risk Register'!$B$6:$B$105,MATCH(A81,'Risk Register'!$A$6:$A$105,0)),"Unknown Risk ID"))</f>
        <v/>
      </c>
      <c r="D81" s="38" t="str">
        <f>IF(A81="","",IFERROR(INDEX('Risk Register'!$D$6:$D$105,MATCH(A81,'Risk Register'!$A$6:$A$105,0)),""))</f>
        <v/>
      </c>
      <c r="E81" s="37" t="str">
        <f>IF(A81="","",IFERROR(INDEX('Risk Register'!$O$6:$O$105,MATCH(A81,'Risk Register'!$A$6:$A$105,0)),0))</f>
        <v/>
      </c>
      <c r="F81" s="37" t="str">
        <f>IF(A81="","",IFERROR(IF(INDEX('Risk Register'!$U$6:$U$105,MATCH(A81,'Risk Register'!$A$6:$A$105,0))="Within appetite","No","Yes"),""))</f>
        <v/>
      </c>
      <c r="G81" s="64" t="str">
        <f>IF(A81="","",SUMIF('Scenario Analysis'!$C$8:$C$57,A81,'Scenario Analysis'!$K$8:$K$57))</f>
        <v/>
      </c>
      <c r="H81" s="37" t="str">
        <f t="shared" si="2"/>
        <v/>
      </c>
    </row>
    <row r="82" spans="1:8" x14ac:dyDescent="0.35">
      <c r="A82" s="35"/>
      <c r="B82" s="35"/>
      <c r="C82" s="44" t="str">
        <f>IF(A82="","",IFERROR(INDEX('Risk Register'!$B$6:$B$105,MATCH(A82,'Risk Register'!$A$6:$A$105,0)),"Unknown Risk ID"))</f>
        <v/>
      </c>
      <c r="D82" s="38" t="str">
        <f>IF(A82="","",IFERROR(INDEX('Risk Register'!$D$6:$D$105,MATCH(A82,'Risk Register'!$A$6:$A$105,0)),""))</f>
        <v/>
      </c>
      <c r="E82" s="37" t="str">
        <f>IF(A82="","",IFERROR(INDEX('Risk Register'!$O$6:$O$105,MATCH(A82,'Risk Register'!$A$6:$A$105,0)),0))</f>
        <v/>
      </c>
      <c r="F82" s="37" t="str">
        <f>IF(A82="","",IFERROR(IF(INDEX('Risk Register'!$U$6:$U$105,MATCH(A82,'Risk Register'!$A$6:$A$105,0))="Within appetite","No","Yes"),""))</f>
        <v/>
      </c>
      <c r="G82" s="64" t="str">
        <f>IF(A82="","",SUMIF('Scenario Analysis'!$C$8:$C$57,A82,'Scenario Analysis'!$K$8:$K$57))</f>
        <v/>
      </c>
      <c r="H82" s="37" t="str">
        <f t="shared" si="2"/>
        <v/>
      </c>
    </row>
    <row r="83" spans="1:8" x14ac:dyDescent="0.35">
      <c r="A83" s="35"/>
      <c r="B83" s="35"/>
      <c r="C83" s="44" t="str">
        <f>IF(A83="","",IFERROR(INDEX('Risk Register'!$B$6:$B$105,MATCH(A83,'Risk Register'!$A$6:$A$105,0)),"Unknown Risk ID"))</f>
        <v/>
      </c>
      <c r="D83" s="38" t="str">
        <f>IF(A83="","",IFERROR(INDEX('Risk Register'!$D$6:$D$105,MATCH(A83,'Risk Register'!$A$6:$A$105,0)),""))</f>
        <v/>
      </c>
      <c r="E83" s="37" t="str">
        <f>IF(A83="","",IFERROR(INDEX('Risk Register'!$O$6:$O$105,MATCH(A83,'Risk Register'!$A$6:$A$105,0)),0))</f>
        <v/>
      </c>
      <c r="F83" s="37" t="str">
        <f>IF(A83="","",IFERROR(IF(INDEX('Risk Register'!$U$6:$U$105,MATCH(A83,'Risk Register'!$A$6:$A$105,0))="Within appetite","No","Yes"),""))</f>
        <v/>
      </c>
      <c r="G83" s="64" t="str">
        <f>IF(A83="","",SUMIF('Scenario Analysis'!$C$8:$C$57,A83,'Scenario Analysis'!$K$8:$K$57))</f>
        <v/>
      </c>
      <c r="H83" s="37" t="str">
        <f t="shared" si="2"/>
        <v/>
      </c>
    </row>
    <row r="84" spans="1:8" x14ac:dyDescent="0.35">
      <c r="A84" s="35"/>
      <c r="B84" s="35"/>
      <c r="C84" s="44" t="str">
        <f>IF(A84="","",IFERROR(INDEX('Risk Register'!$B$6:$B$105,MATCH(A84,'Risk Register'!$A$6:$A$105,0)),"Unknown Risk ID"))</f>
        <v/>
      </c>
      <c r="D84" s="38" t="str">
        <f>IF(A84="","",IFERROR(INDEX('Risk Register'!$D$6:$D$105,MATCH(A84,'Risk Register'!$A$6:$A$105,0)),""))</f>
        <v/>
      </c>
      <c r="E84" s="37" t="str">
        <f>IF(A84="","",IFERROR(INDEX('Risk Register'!$O$6:$O$105,MATCH(A84,'Risk Register'!$A$6:$A$105,0)),0))</f>
        <v/>
      </c>
      <c r="F84" s="37" t="str">
        <f>IF(A84="","",IFERROR(IF(INDEX('Risk Register'!$U$6:$U$105,MATCH(A84,'Risk Register'!$A$6:$A$105,0))="Within appetite","No","Yes"),""))</f>
        <v/>
      </c>
      <c r="G84" s="64" t="str">
        <f>IF(A84="","",SUMIF('Scenario Analysis'!$C$8:$C$57,A84,'Scenario Analysis'!$K$8:$K$57))</f>
        <v/>
      </c>
      <c r="H84" s="37" t="str">
        <f t="shared" si="2"/>
        <v/>
      </c>
    </row>
    <row r="85" spans="1:8" x14ac:dyDescent="0.35">
      <c r="A85" s="35"/>
      <c r="B85" s="35"/>
      <c r="C85" s="44" t="str">
        <f>IF(A85="","",IFERROR(INDEX('Risk Register'!$B$6:$B$105,MATCH(A85,'Risk Register'!$A$6:$A$105,0)),"Unknown Risk ID"))</f>
        <v/>
      </c>
      <c r="D85" s="38" t="str">
        <f>IF(A85="","",IFERROR(INDEX('Risk Register'!$D$6:$D$105,MATCH(A85,'Risk Register'!$A$6:$A$105,0)),""))</f>
        <v/>
      </c>
      <c r="E85" s="37" t="str">
        <f>IF(A85="","",IFERROR(INDEX('Risk Register'!$O$6:$O$105,MATCH(A85,'Risk Register'!$A$6:$A$105,0)),0))</f>
        <v/>
      </c>
      <c r="F85" s="37" t="str">
        <f>IF(A85="","",IFERROR(IF(INDEX('Risk Register'!$U$6:$U$105,MATCH(A85,'Risk Register'!$A$6:$A$105,0))="Within appetite","No","Yes"),""))</f>
        <v/>
      </c>
      <c r="G85" s="64" t="str">
        <f>IF(A85="","",SUMIF('Scenario Analysis'!$C$8:$C$57,A85,'Scenario Analysis'!$K$8:$K$57))</f>
        <v/>
      </c>
      <c r="H85" s="37" t="str">
        <f t="shared" si="2"/>
        <v/>
      </c>
    </row>
    <row r="86" spans="1:8" x14ac:dyDescent="0.35">
      <c r="A86" s="35"/>
      <c r="B86" s="35"/>
      <c r="C86" s="44" t="str">
        <f>IF(A86="","",IFERROR(INDEX('Risk Register'!$B$6:$B$105,MATCH(A86,'Risk Register'!$A$6:$A$105,0)),"Unknown Risk ID"))</f>
        <v/>
      </c>
      <c r="D86" s="38" t="str">
        <f>IF(A86="","",IFERROR(INDEX('Risk Register'!$D$6:$D$105,MATCH(A86,'Risk Register'!$A$6:$A$105,0)),""))</f>
        <v/>
      </c>
      <c r="E86" s="37" t="str">
        <f>IF(A86="","",IFERROR(INDEX('Risk Register'!$O$6:$O$105,MATCH(A86,'Risk Register'!$A$6:$A$105,0)),0))</f>
        <v/>
      </c>
      <c r="F86" s="37" t="str">
        <f>IF(A86="","",IFERROR(IF(INDEX('Risk Register'!$U$6:$U$105,MATCH(A86,'Risk Register'!$A$6:$A$105,0))="Within appetite","No","Yes"),""))</f>
        <v/>
      </c>
      <c r="G86" s="64" t="str">
        <f>IF(A86="","",SUMIF('Scenario Analysis'!$C$8:$C$57,A86,'Scenario Analysis'!$K$8:$K$57))</f>
        <v/>
      </c>
      <c r="H86" s="37" t="str">
        <f t="shared" si="2"/>
        <v/>
      </c>
    </row>
    <row r="87" spans="1:8" x14ac:dyDescent="0.35">
      <c r="A87" s="35"/>
      <c r="B87" s="35"/>
      <c r="C87" s="44" t="str">
        <f>IF(A87="","",IFERROR(INDEX('Risk Register'!$B$6:$B$105,MATCH(A87,'Risk Register'!$A$6:$A$105,0)),"Unknown Risk ID"))</f>
        <v/>
      </c>
      <c r="D87" s="38" t="str">
        <f>IF(A87="","",IFERROR(INDEX('Risk Register'!$D$6:$D$105,MATCH(A87,'Risk Register'!$A$6:$A$105,0)),""))</f>
        <v/>
      </c>
      <c r="E87" s="37" t="str">
        <f>IF(A87="","",IFERROR(INDEX('Risk Register'!$O$6:$O$105,MATCH(A87,'Risk Register'!$A$6:$A$105,0)),0))</f>
        <v/>
      </c>
      <c r="F87" s="37" t="str">
        <f>IF(A87="","",IFERROR(IF(INDEX('Risk Register'!$U$6:$U$105,MATCH(A87,'Risk Register'!$A$6:$A$105,0))="Within appetite","No","Yes"),""))</f>
        <v/>
      </c>
      <c r="G87" s="64" t="str">
        <f>IF(A87="","",SUMIF('Scenario Analysis'!$C$8:$C$57,A87,'Scenario Analysis'!$K$8:$K$57))</f>
        <v/>
      </c>
      <c r="H87" s="37" t="str">
        <f t="shared" si="2"/>
        <v/>
      </c>
    </row>
    <row r="88" spans="1:8" x14ac:dyDescent="0.35">
      <c r="A88" s="35"/>
      <c r="B88" s="35"/>
      <c r="C88" s="44" t="str">
        <f>IF(A88="","",IFERROR(INDEX('Risk Register'!$B$6:$B$105,MATCH(A88,'Risk Register'!$A$6:$A$105,0)),"Unknown Risk ID"))</f>
        <v/>
      </c>
      <c r="D88" s="38" t="str">
        <f>IF(A88="","",IFERROR(INDEX('Risk Register'!$D$6:$D$105,MATCH(A88,'Risk Register'!$A$6:$A$105,0)),""))</f>
        <v/>
      </c>
      <c r="E88" s="37" t="str">
        <f>IF(A88="","",IFERROR(INDEX('Risk Register'!$O$6:$O$105,MATCH(A88,'Risk Register'!$A$6:$A$105,0)),0))</f>
        <v/>
      </c>
      <c r="F88" s="37" t="str">
        <f>IF(A88="","",IFERROR(IF(INDEX('Risk Register'!$U$6:$U$105,MATCH(A88,'Risk Register'!$A$6:$A$105,0))="Within appetite","No","Yes"),""))</f>
        <v/>
      </c>
      <c r="G88" s="64" t="str">
        <f>IF(A88="","",SUMIF('Scenario Analysis'!$C$8:$C$57,A88,'Scenario Analysis'!$K$8:$K$57))</f>
        <v/>
      </c>
      <c r="H88" s="37" t="str">
        <f t="shared" si="2"/>
        <v/>
      </c>
    </row>
    <row r="89" spans="1:8" x14ac:dyDescent="0.35">
      <c r="A89" s="35"/>
      <c r="B89" s="35"/>
      <c r="C89" s="44" t="str">
        <f>IF(A89="","",IFERROR(INDEX('Risk Register'!$B$6:$B$105,MATCH(A89,'Risk Register'!$A$6:$A$105,0)),"Unknown Risk ID"))</f>
        <v/>
      </c>
      <c r="D89" s="38" t="str">
        <f>IF(A89="","",IFERROR(INDEX('Risk Register'!$D$6:$D$105,MATCH(A89,'Risk Register'!$A$6:$A$105,0)),""))</f>
        <v/>
      </c>
      <c r="E89" s="37" t="str">
        <f>IF(A89="","",IFERROR(INDEX('Risk Register'!$O$6:$O$105,MATCH(A89,'Risk Register'!$A$6:$A$105,0)),0))</f>
        <v/>
      </c>
      <c r="F89" s="37" t="str">
        <f>IF(A89="","",IFERROR(IF(INDEX('Risk Register'!$U$6:$U$105,MATCH(A89,'Risk Register'!$A$6:$A$105,0))="Within appetite","No","Yes"),""))</f>
        <v/>
      </c>
      <c r="G89" s="64" t="str">
        <f>IF(A89="","",SUMIF('Scenario Analysis'!$C$8:$C$57,A89,'Scenario Analysis'!$K$8:$K$57))</f>
        <v/>
      </c>
      <c r="H89" s="37" t="str">
        <f t="shared" si="2"/>
        <v/>
      </c>
    </row>
    <row r="90" spans="1:8" x14ac:dyDescent="0.35">
      <c r="A90" s="35"/>
      <c r="B90" s="35"/>
      <c r="C90" s="44" t="str">
        <f>IF(A90="","",IFERROR(INDEX('Risk Register'!$B$6:$B$105,MATCH(A90,'Risk Register'!$A$6:$A$105,0)),"Unknown Risk ID"))</f>
        <v/>
      </c>
      <c r="D90" s="38" t="str">
        <f>IF(A90="","",IFERROR(INDEX('Risk Register'!$D$6:$D$105,MATCH(A90,'Risk Register'!$A$6:$A$105,0)),""))</f>
        <v/>
      </c>
      <c r="E90" s="37" t="str">
        <f>IF(A90="","",IFERROR(INDEX('Risk Register'!$O$6:$O$105,MATCH(A90,'Risk Register'!$A$6:$A$105,0)),0))</f>
        <v/>
      </c>
      <c r="F90" s="37" t="str">
        <f>IF(A90="","",IFERROR(IF(INDEX('Risk Register'!$U$6:$U$105,MATCH(A90,'Risk Register'!$A$6:$A$105,0))="Within appetite","No","Yes"),""))</f>
        <v/>
      </c>
      <c r="G90" s="64" t="str">
        <f>IF(A90="","",SUMIF('Scenario Analysis'!$C$8:$C$57,A90,'Scenario Analysis'!$K$8:$K$57))</f>
        <v/>
      </c>
      <c r="H90" s="37" t="str">
        <f t="shared" si="2"/>
        <v/>
      </c>
    </row>
    <row r="91" spans="1:8" x14ac:dyDescent="0.35">
      <c r="A91" s="35"/>
      <c r="B91" s="35"/>
      <c r="C91" s="44" t="str">
        <f>IF(A91="","",IFERROR(INDEX('Risk Register'!$B$6:$B$105,MATCH(A91,'Risk Register'!$A$6:$A$105,0)),"Unknown Risk ID"))</f>
        <v/>
      </c>
      <c r="D91" s="38" t="str">
        <f>IF(A91="","",IFERROR(INDEX('Risk Register'!$D$6:$D$105,MATCH(A91,'Risk Register'!$A$6:$A$105,0)),""))</f>
        <v/>
      </c>
      <c r="E91" s="37" t="str">
        <f>IF(A91="","",IFERROR(INDEX('Risk Register'!$O$6:$O$105,MATCH(A91,'Risk Register'!$A$6:$A$105,0)),0))</f>
        <v/>
      </c>
      <c r="F91" s="37" t="str">
        <f>IF(A91="","",IFERROR(IF(INDEX('Risk Register'!$U$6:$U$105,MATCH(A91,'Risk Register'!$A$6:$A$105,0))="Within appetite","No","Yes"),""))</f>
        <v/>
      </c>
      <c r="G91" s="64" t="str">
        <f>IF(A91="","",SUMIF('Scenario Analysis'!$C$8:$C$57,A91,'Scenario Analysis'!$K$8:$K$57))</f>
        <v/>
      </c>
      <c r="H91" s="37" t="str">
        <f t="shared" si="2"/>
        <v/>
      </c>
    </row>
    <row r="92" spans="1:8" x14ac:dyDescent="0.35">
      <c r="A92" s="35"/>
      <c r="B92" s="35"/>
      <c r="C92" s="44" t="str">
        <f>IF(A92="","",IFERROR(INDEX('Risk Register'!$B$6:$B$105,MATCH(A92,'Risk Register'!$A$6:$A$105,0)),"Unknown Risk ID"))</f>
        <v/>
      </c>
      <c r="D92" s="38" t="str">
        <f>IF(A92="","",IFERROR(INDEX('Risk Register'!$D$6:$D$105,MATCH(A92,'Risk Register'!$A$6:$A$105,0)),""))</f>
        <v/>
      </c>
      <c r="E92" s="37" t="str">
        <f>IF(A92="","",IFERROR(INDEX('Risk Register'!$O$6:$O$105,MATCH(A92,'Risk Register'!$A$6:$A$105,0)),0))</f>
        <v/>
      </c>
      <c r="F92" s="37" t="str">
        <f>IF(A92="","",IFERROR(IF(INDEX('Risk Register'!$U$6:$U$105,MATCH(A92,'Risk Register'!$A$6:$A$105,0))="Within appetite","No","Yes"),""))</f>
        <v/>
      </c>
      <c r="G92" s="64" t="str">
        <f>IF(A92="","",SUMIF('Scenario Analysis'!$C$8:$C$57,A92,'Scenario Analysis'!$K$8:$K$57))</f>
        <v/>
      </c>
      <c r="H92" s="37" t="str">
        <f t="shared" si="2"/>
        <v/>
      </c>
    </row>
    <row r="93" spans="1:8" x14ac:dyDescent="0.35">
      <c r="A93" s="35"/>
      <c r="B93" s="35"/>
      <c r="C93" s="44" t="str">
        <f>IF(A93="","",IFERROR(INDEX('Risk Register'!$B$6:$B$105,MATCH(A93,'Risk Register'!$A$6:$A$105,0)),"Unknown Risk ID"))</f>
        <v/>
      </c>
      <c r="D93" s="38" t="str">
        <f>IF(A93="","",IFERROR(INDEX('Risk Register'!$D$6:$D$105,MATCH(A93,'Risk Register'!$A$6:$A$105,0)),""))</f>
        <v/>
      </c>
      <c r="E93" s="37" t="str">
        <f>IF(A93="","",IFERROR(INDEX('Risk Register'!$O$6:$O$105,MATCH(A93,'Risk Register'!$A$6:$A$105,0)),0))</f>
        <v/>
      </c>
      <c r="F93" s="37" t="str">
        <f>IF(A93="","",IFERROR(IF(INDEX('Risk Register'!$U$6:$U$105,MATCH(A93,'Risk Register'!$A$6:$A$105,0))="Within appetite","No","Yes"),""))</f>
        <v/>
      </c>
      <c r="G93" s="64" t="str">
        <f>IF(A93="","",SUMIF('Scenario Analysis'!$C$8:$C$57,A93,'Scenario Analysis'!$K$8:$K$57))</f>
        <v/>
      </c>
      <c r="H93" s="37" t="str">
        <f t="shared" si="2"/>
        <v/>
      </c>
    </row>
    <row r="94" spans="1:8" x14ac:dyDescent="0.35">
      <c r="A94" s="35"/>
      <c r="B94" s="35"/>
      <c r="C94" s="44" t="str">
        <f>IF(A94="","",IFERROR(INDEX('Risk Register'!$B$6:$B$105,MATCH(A94,'Risk Register'!$A$6:$A$105,0)),"Unknown Risk ID"))</f>
        <v/>
      </c>
      <c r="D94" s="38" t="str">
        <f>IF(A94="","",IFERROR(INDEX('Risk Register'!$D$6:$D$105,MATCH(A94,'Risk Register'!$A$6:$A$105,0)),""))</f>
        <v/>
      </c>
      <c r="E94" s="37" t="str">
        <f>IF(A94="","",IFERROR(INDEX('Risk Register'!$O$6:$O$105,MATCH(A94,'Risk Register'!$A$6:$A$105,0)),0))</f>
        <v/>
      </c>
      <c r="F94" s="37" t="str">
        <f>IF(A94="","",IFERROR(IF(INDEX('Risk Register'!$U$6:$U$105,MATCH(A94,'Risk Register'!$A$6:$A$105,0))="Within appetite","No","Yes"),""))</f>
        <v/>
      </c>
      <c r="G94" s="64" t="str">
        <f>IF(A94="","",SUMIF('Scenario Analysis'!$C$8:$C$57,A94,'Scenario Analysis'!$K$8:$K$57))</f>
        <v/>
      </c>
      <c r="H94" s="37" t="str">
        <f t="shared" si="2"/>
        <v/>
      </c>
    </row>
    <row r="95" spans="1:8" x14ac:dyDescent="0.35">
      <c r="A95" s="35"/>
      <c r="B95" s="35"/>
      <c r="C95" s="44" t="str">
        <f>IF(A95="","",IFERROR(INDEX('Risk Register'!$B$6:$B$105,MATCH(A95,'Risk Register'!$A$6:$A$105,0)),"Unknown Risk ID"))</f>
        <v/>
      </c>
      <c r="D95" s="38" t="str">
        <f>IF(A95="","",IFERROR(INDEX('Risk Register'!$D$6:$D$105,MATCH(A95,'Risk Register'!$A$6:$A$105,0)),""))</f>
        <v/>
      </c>
      <c r="E95" s="37" t="str">
        <f>IF(A95="","",IFERROR(INDEX('Risk Register'!$O$6:$O$105,MATCH(A95,'Risk Register'!$A$6:$A$105,0)),0))</f>
        <v/>
      </c>
      <c r="F95" s="37" t="str">
        <f>IF(A95="","",IFERROR(IF(INDEX('Risk Register'!$U$6:$U$105,MATCH(A95,'Risk Register'!$A$6:$A$105,0))="Within appetite","No","Yes"),""))</f>
        <v/>
      </c>
      <c r="G95" s="64" t="str">
        <f>IF(A95="","",SUMIF('Scenario Analysis'!$C$8:$C$57,A95,'Scenario Analysis'!$K$8:$K$57))</f>
        <v/>
      </c>
      <c r="H95" s="37" t="str">
        <f t="shared" si="2"/>
        <v/>
      </c>
    </row>
    <row r="96" spans="1:8" x14ac:dyDescent="0.35">
      <c r="A96" s="35"/>
      <c r="B96" s="35"/>
      <c r="C96" s="44" t="str">
        <f>IF(A96="","",IFERROR(INDEX('Risk Register'!$B$6:$B$105,MATCH(A96,'Risk Register'!$A$6:$A$105,0)),"Unknown Risk ID"))</f>
        <v/>
      </c>
      <c r="D96" s="38" t="str">
        <f>IF(A96="","",IFERROR(INDEX('Risk Register'!$D$6:$D$105,MATCH(A96,'Risk Register'!$A$6:$A$105,0)),""))</f>
        <v/>
      </c>
      <c r="E96" s="37" t="str">
        <f>IF(A96="","",IFERROR(INDEX('Risk Register'!$O$6:$O$105,MATCH(A96,'Risk Register'!$A$6:$A$105,0)),0))</f>
        <v/>
      </c>
      <c r="F96" s="37" t="str">
        <f>IF(A96="","",IFERROR(IF(INDEX('Risk Register'!$U$6:$U$105,MATCH(A96,'Risk Register'!$A$6:$A$105,0))="Within appetite","No","Yes"),""))</f>
        <v/>
      </c>
      <c r="G96" s="64" t="str">
        <f>IF(A96="","",SUMIF('Scenario Analysis'!$C$8:$C$57,A96,'Scenario Analysis'!$K$8:$K$57))</f>
        <v/>
      </c>
      <c r="H96" s="37" t="str">
        <f t="shared" si="2"/>
        <v/>
      </c>
    </row>
    <row r="97" spans="1:8" x14ac:dyDescent="0.35">
      <c r="A97" s="35"/>
      <c r="B97" s="35"/>
      <c r="C97" s="44" t="str">
        <f>IF(A97="","",IFERROR(INDEX('Risk Register'!$B$6:$B$105,MATCH(A97,'Risk Register'!$A$6:$A$105,0)),"Unknown Risk ID"))</f>
        <v/>
      </c>
      <c r="D97" s="38" t="str">
        <f>IF(A97="","",IFERROR(INDEX('Risk Register'!$D$6:$D$105,MATCH(A97,'Risk Register'!$A$6:$A$105,0)),""))</f>
        <v/>
      </c>
      <c r="E97" s="37" t="str">
        <f>IF(A97="","",IFERROR(INDEX('Risk Register'!$O$6:$O$105,MATCH(A97,'Risk Register'!$A$6:$A$105,0)),0))</f>
        <v/>
      </c>
      <c r="F97" s="37" t="str">
        <f>IF(A97="","",IFERROR(IF(INDEX('Risk Register'!$U$6:$U$105,MATCH(A97,'Risk Register'!$A$6:$A$105,0))="Within appetite","No","Yes"),""))</f>
        <v/>
      </c>
      <c r="G97" s="64" t="str">
        <f>IF(A97="","",SUMIF('Scenario Analysis'!$C$8:$C$57,A97,'Scenario Analysis'!$K$8:$K$57))</f>
        <v/>
      </c>
      <c r="H97" s="37" t="str">
        <f t="shared" si="2"/>
        <v/>
      </c>
    </row>
    <row r="98" spans="1:8" x14ac:dyDescent="0.35">
      <c r="A98" s="35"/>
      <c r="B98" s="35"/>
      <c r="C98" s="44" t="str">
        <f>IF(A98="","",IFERROR(INDEX('Risk Register'!$B$6:$B$105,MATCH(A98,'Risk Register'!$A$6:$A$105,0)),"Unknown Risk ID"))</f>
        <v/>
      </c>
      <c r="D98" s="38" t="str">
        <f>IF(A98="","",IFERROR(INDEX('Risk Register'!$D$6:$D$105,MATCH(A98,'Risk Register'!$A$6:$A$105,0)),""))</f>
        <v/>
      </c>
      <c r="E98" s="37" t="str">
        <f>IF(A98="","",IFERROR(INDEX('Risk Register'!$O$6:$O$105,MATCH(A98,'Risk Register'!$A$6:$A$105,0)),0))</f>
        <v/>
      </c>
      <c r="F98" s="37" t="str">
        <f>IF(A98="","",IFERROR(IF(INDEX('Risk Register'!$U$6:$U$105,MATCH(A98,'Risk Register'!$A$6:$A$105,0))="Within appetite","No","Yes"),""))</f>
        <v/>
      </c>
      <c r="G98" s="64" t="str">
        <f>IF(A98="","",SUMIF('Scenario Analysis'!$C$8:$C$57,A98,'Scenario Analysis'!$K$8:$K$57))</f>
        <v/>
      </c>
      <c r="H98" s="37" t="str">
        <f t="shared" si="2"/>
        <v/>
      </c>
    </row>
    <row r="99" spans="1:8" x14ac:dyDescent="0.35">
      <c r="A99" s="35"/>
      <c r="B99" s="35"/>
      <c r="C99" s="44" t="str">
        <f>IF(A99="","",IFERROR(INDEX('Risk Register'!$B$6:$B$105,MATCH(A99,'Risk Register'!$A$6:$A$105,0)),"Unknown Risk ID"))</f>
        <v/>
      </c>
      <c r="D99" s="38" t="str">
        <f>IF(A99="","",IFERROR(INDEX('Risk Register'!$D$6:$D$105,MATCH(A99,'Risk Register'!$A$6:$A$105,0)),""))</f>
        <v/>
      </c>
      <c r="E99" s="37" t="str">
        <f>IF(A99="","",IFERROR(INDEX('Risk Register'!$O$6:$O$105,MATCH(A99,'Risk Register'!$A$6:$A$105,0)),0))</f>
        <v/>
      </c>
      <c r="F99" s="37" t="str">
        <f>IF(A99="","",IFERROR(IF(INDEX('Risk Register'!$U$6:$U$105,MATCH(A99,'Risk Register'!$A$6:$A$105,0))="Within appetite","No","Yes"),""))</f>
        <v/>
      </c>
      <c r="G99" s="64" t="str">
        <f>IF(A99="","",SUMIF('Scenario Analysis'!$C$8:$C$57,A99,'Scenario Analysis'!$K$8:$K$57))</f>
        <v/>
      </c>
      <c r="H99" s="37" t="str">
        <f t="shared" si="2"/>
        <v/>
      </c>
    </row>
    <row r="100" spans="1:8" x14ac:dyDescent="0.35">
      <c r="A100" s="35"/>
      <c r="B100" s="35"/>
      <c r="C100" s="44" t="str">
        <f>IF(A100="","",IFERROR(INDEX('Risk Register'!$B$6:$B$105,MATCH(A100,'Risk Register'!$A$6:$A$105,0)),"Unknown Risk ID"))</f>
        <v/>
      </c>
      <c r="D100" s="38" t="str">
        <f>IF(A100="","",IFERROR(INDEX('Risk Register'!$D$6:$D$105,MATCH(A100,'Risk Register'!$A$6:$A$105,0)),""))</f>
        <v/>
      </c>
      <c r="E100" s="37" t="str">
        <f>IF(A100="","",IFERROR(INDEX('Risk Register'!$O$6:$O$105,MATCH(A100,'Risk Register'!$A$6:$A$105,0)),0))</f>
        <v/>
      </c>
      <c r="F100" s="37" t="str">
        <f>IF(A100="","",IFERROR(IF(INDEX('Risk Register'!$U$6:$U$105,MATCH(A100,'Risk Register'!$A$6:$A$105,0))="Within appetite","No","Yes"),""))</f>
        <v/>
      </c>
      <c r="G100" s="64" t="str">
        <f>IF(A100="","",SUMIF('Scenario Analysis'!$C$8:$C$57,A100,'Scenario Analysis'!$K$8:$K$57))</f>
        <v/>
      </c>
      <c r="H100" s="37" t="str">
        <f t="shared" si="2"/>
        <v/>
      </c>
    </row>
    <row r="101" spans="1:8" x14ac:dyDescent="0.35">
      <c r="A101" s="35"/>
      <c r="B101" s="35"/>
      <c r="C101" s="44" t="str">
        <f>IF(A101="","",IFERROR(INDEX('Risk Register'!$B$6:$B$105,MATCH(A101,'Risk Register'!$A$6:$A$105,0)),"Unknown Risk ID"))</f>
        <v/>
      </c>
      <c r="D101" s="38" t="str">
        <f>IF(A101="","",IFERROR(INDEX('Risk Register'!$D$6:$D$105,MATCH(A101,'Risk Register'!$A$6:$A$105,0)),""))</f>
        <v/>
      </c>
      <c r="E101" s="37" t="str">
        <f>IF(A101="","",IFERROR(INDEX('Risk Register'!$O$6:$O$105,MATCH(A101,'Risk Register'!$A$6:$A$105,0)),0))</f>
        <v/>
      </c>
      <c r="F101" s="37" t="str">
        <f>IF(A101="","",IFERROR(IF(INDEX('Risk Register'!$U$6:$U$105,MATCH(A101,'Risk Register'!$A$6:$A$105,0))="Within appetite","No","Yes"),""))</f>
        <v/>
      </c>
      <c r="G101" s="64" t="str">
        <f>IF(A101="","",SUMIF('Scenario Analysis'!$C$8:$C$57,A101,'Scenario Analysis'!$K$8:$K$57))</f>
        <v/>
      </c>
      <c r="H101" s="37" t="str">
        <f t="shared" si="2"/>
        <v/>
      </c>
    </row>
    <row r="102" spans="1:8" x14ac:dyDescent="0.35">
      <c r="A102" s="35"/>
      <c r="B102" s="35"/>
      <c r="C102" s="44" t="str">
        <f>IF(A102="","",IFERROR(INDEX('Risk Register'!$B$6:$B$105,MATCH(A102,'Risk Register'!$A$6:$A$105,0)),"Unknown Risk ID"))</f>
        <v/>
      </c>
      <c r="D102" s="38" t="str">
        <f>IF(A102="","",IFERROR(INDEX('Risk Register'!$D$6:$D$105,MATCH(A102,'Risk Register'!$A$6:$A$105,0)),""))</f>
        <v/>
      </c>
      <c r="E102" s="37" t="str">
        <f>IF(A102="","",IFERROR(INDEX('Risk Register'!$O$6:$O$105,MATCH(A102,'Risk Register'!$A$6:$A$105,0)),0))</f>
        <v/>
      </c>
      <c r="F102" s="37" t="str">
        <f>IF(A102="","",IFERROR(IF(INDEX('Risk Register'!$U$6:$U$105,MATCH(A102,'Risk Register'!$A$6:$A$105,0))="Within appetite","No","Yes"),""))</f>
        <v/>
      </c>
      <c r="G102" s="64" t="str">
        <f>IF(A102="","",SUMIF('Scenario Analysis'!$C$8:$C$57,A102,'Scenario Analysis'!$K$8:$K$57))</f>
        <v/>
      </c>
      <c r="H102" s="37" t="str">
        <f t="shared" ref="H102:H133" si="3">IF(OR(A102="",B102=""),"",IF(COUNTIFS($A$6:$A$205,A102,$B$6:$B$205,B102)&gt;1,"Duplicate",""))</f>
        <v/>
      </c>
    </row>
    <row r="103" spans="1:8" x14ac:dyDescent="0.35">
      <c r="A103" s="35"/>
      <c r="B103" s="35"/>
      <c r="C103" s="44" t="str">
        <f>IF(A103="","",IFERROR(INDEX('Risk Register'!$B$6:$B$105,MATCH(A103,'Risk Register'!$A$6:$A$105,0)),"Unknown Risk ID"))</f>
        <v/>
      </c>
      <c r="D103" s="38" t="str">
        <f>IF(A103="","",IFERROR(INDEX('Risk Register'!$D$6:$D$105,MATCH(A103,'Risk Register'!$A$6:$A$105,0)),""))</f>
        <v/>
      </c>
      <c r="E103" s="37" t="str">
        <f>IF(A103="","",IFERROR(INDEX('Risk Register'!$O$6:$O$105,MATCH(A103,'Risk Register'!$A$6:$A$105,0)),0))</f>
        <v/>
      </c>
      <c r="F103" s="37" t="str">
        <f>IF(A103="","",IFERROR(IF(INDEX('Risk Register'!$U$6:$U$105,MATCH(A103,'Risk Register'!$A$6:$A$105,0))="Within appetite","No","Yes"),""))</f>
        <v/>
      </c>
      <c r="G103" s="64" t="str">
        <f>IF(A103="","",SUMIF('Scenario Analysis'!$C$8:$C$57,A103,'Scenario Analysis'!$K$8:$K$57))</f>
        <v/>
      </c>
      <c r="H103" s="37" t="str">
        <f t="shared" si="3"/>
        <v/>
      </c>
    </row>
    <row r="104" spans="1:8" x14ac:dyDescent="0.35">
      <c r="A104" s="35"/>
      <c r="B104" s="35"/>
      <c r="C104" s="44" t="str">
        <f>IF(A104="","",IFERROR(INDEX('Risk Register'!$B$6:$B$105,MATCH(A104,'Risk Register'!$A$6:$A$105,0)),"Unknown Risk ID"))</f>
        <v/>
      </c>
      <c r="D104" s="38" t="str">
        <f>IF(A104="","",IFERROR(INDEX('Risk Register'!$D$6:$D$105,MATCH(A104,'Risk Register'!$A$6:$A$105,0)),""))</f>
        <v/>
      </c>
      <c r="E104" s="37" t="str">
        <f>IF(A104="","",IFERROR(INDEX('Risk Register'!$O$6:$O$105,MATCH(A104,'Risk Register'!$A$6:$A$105,0)),0))</f>
        <v/>
      </c>
      <c r="F104" s="37" t="str">
        <f>IF(A104="","",IFERROR(IF(INDEX('Risk Register'!$U$6:$U$105,MATCH(A104,'Risk Register'!$A$6:$A$105,0))="Within appetite","No","Yes"),""))</f>
        <v/>
      </c>
      <c r="G104" s="64" t="str">
        <f>IF(A104="","",SUMIF('Scenario Analysis'!$C$8:$C$57,A104,'Scenario Analysis'!$K$8:$K$57))</f>
        <v/>
      </c>
      <c r="H104" s="37" t="str">
        <f t="shared" si="3"/>
        <v/>
      </c>
    </row>
    <row r="105" spans="1:8" x14ac:dyDescent="0.35">
      <c r="A105" s="35"/>
      <c r="B105" s="35"/>
      <c r="C105" s="44" t="str">
        <f>IF(A105="","",IFERROR(INDEX('Risk Register'!$B$6:$B$105,MATCH(A105,'Risk Register'!$A$6:$A$105,0)),"Unknown Risk ID"))</f>
        <v/>
      </c>
      <c r="D105" s="38" t="str">
        <f>IF(A105="","",IFERROR(INDEX('Risk Register'!$D$6:$D$105,MATCH(A105,'Risk Register'!$A$6:$A$105,0)),""))</f>
        <v/>
      </c>
      <c r="E105" s="37" t="str">
        <f>IF(A105="","",IFERROR(INDEX('Risk Register'!$O$6:$O$105,MATCH(A105,'Risk Register'!$A$6:$A$105,0)),0))</f>
        <v/>
      </c>
      <c r="F105" s="37" t="str">
        <f>IF(A105="","",IFERROR(IF(INDEX('Risk Register'!$U$6:$U$105,MATCH(A105,'Risk Register'!$A$6:$A$105,0))="Within appetite","No","Yes"),""))</f>
        <v/>
      </c>
      <c r="G105" s="64" t="str">
        <f>IF(A105="","",SUMIF('Scenario Analysis'!$C$8:$C$57,A105,'Scenario Analysis'!$K$8:$K$57))</f>
        <v/>
      </c>
      <c r="H105" s="37" t="str">
        <f t="shared" si="3"/>
        <v/>
      </c>
    </row>
    <row r="106" spans="1:8" x14ac:dyDescent="0.35">
      <c r="A106" s="35"/>
      <c r="B106" s="35"/>
      <c r="C106" s="44" t="str">
        <f>IF(A106="","",IFERROR(INDEX('Risk Register'!$B$6:$B$105,MATCH(A106,'Risk Register'!$A$6:$A$105,0)),"Unknown Risk ID"))</f>
        <v/>
      </c>
      <c r="D106" s="38" t="str">
        <f>IF(A106="","",IFERROR(INDEX('Risk Register'!$D$6:$D$105,MATCH(A106,'Risk Register'!$A$6:$A$105,0)),""))</f>
        <v/>
      </c>
      <c r="E106" s="37" t="str">
        <f>IF(A106="","",IFERROR(INDEX('Risk Register'!$O$6:$O$105,MATCH(A106,'Risk Register'!$A$6:$A$105,0)),0))</f>
        <v/>
      </c>
      <c r="F106" s="37" t="str">
        <f>IF(A106="","",IFERROR(IF(INDEX('Risk Register'!$U$6:$U$105,MATCH(A106,'Risk Register'!$A$6:$A$105,0))="Within appetite","No","Yes"),""))</f>
        <v/>
      </c>
      <c r="G106" s="64" t="str">
        <f>IF(A106="","",SUMIF('Scenario Analysis'!$C$8:$C$57,A106,'Scenario Analysis'!$K$8:$K$57))</f>
        <v/>
      </c>
      <c r="H106" s="37" t="str">
        <f t="shared" si="3"/>
        <v/>
      </c>
    </row>
    <row r="107" spans="1:8" x14ac:dyDescent="0.35">
      <c r="A107" s="35"/>
      <c r="B107" s="35"/>
      <c r="C107" s="44" t="str">
        <f>IF(A107="","",IFERROR(INDEX('Risk Register'!$B$6:$B$105,MATCH(A107,'Risk Register'!$A$6:$A$105,0)),"Unknown Risk ID"))</f>
        <v/>
      </c>
      <c r="D107" s="38" t="str">
        <f>IF(A107="","",IFERROR(INDEX('Risk Register'!$D$6:$D$105,MATCH(A107,'Risk Register'!$A$6:$A$105,0)),""))</f>
        <v/>
      </c>
      <c r="E107" s="37" t="str">
        <f>IF(A107="","",IFERROR(INDEX('Risk Register'!$O$6:$O$105,MATCH(A107,'Risk Register'!$A$6:$A$105,0)),0))</f>
        <v/>
      </c>
      <c r="F107" s="37" t="str">
        <f>IF(A107="","",IFERROR(IF(INDEX('Risk Register'!$U$6:$U$105,MATCH(A107,'Risk Register'!$A$6:$A$105,0))="Within appetite","No","Yes"),""))</f>
        <v/>
      </c>
      <c r="G107" s="64" t="str">
        <f>IF(A107="","",SUMIF('Scenario Analysis'!$C$8:$C$57,A107,'Scenario Analysis'!$K$8:$K$57))</f>
        <v/>
      </c>
      <c r="H107" s="37" t="str">
        <f t="shared" si="3"/>
        <v/>
      </c>
    </row>
    <row r="108" spans="1:8" x14ac:dyDescent="0.35">
      <c r="A108" s="35"/>
      <c r="B108" s="35"/>
      <c r="C108" s="44" t="str">
        <f>IF(A108="","",IFERROR(INDEX('Risk Register'!$B$6:$B$105,MATCH(A108,'Risk Register'!$A$6:$A$105,0)),"Unknown Risk ID"))</f>
        <v/>
      </c>
      <c r="D108" s="38" t="str">
        <f>IF(A108="","",IFERROR(INDEX('Risk Register'!$D$6:$D$105,MATCH(A108,'Risk Register'!$A$6:$A$105,0)),""))</f>
        <v/>
      </c>
      <c r="E108" s="37" t="str">
        <f>IF(A108="","",IFERROR(INDEX('Risk Register'!$O$6:$O$105,MATCH(A108,'Risk Register'!$A$6:$A$105,0)),0))</f>
        <v/>
      </c>
      <c r="F108" s="37" t="str">
        <f>IF(A108="","",IFERROR(IF(INDEX('Risk Register'!$U$6:$U$105,MATCH(A108,'Risk Register'!$A$6:$A$105,0))="Within appetite","No","Yes"),""))</f>
        <v/>
      </c>
      <c r="G108" s="64" t="str">
        <f>IF(A108="","",SUMIF('Scenario Analysis'!$C$8:$C$57,A108,'Scenario Analysis'!$K$8:$K$57))</f>
        <v/>
      </c>
      <c r="H108" s="37" t="str">
        <f t="shared" si="3"/>
        <v/>
      </c>
    </row>
    <row r="109" spans="1:8" x14ac:dyDescent="0.35">
      <c r="A109" s="35"/>
      <c r="B109" s="35"/>
      <c r="C109" s="44" t="str">
        <f>IF(A109="","",IFERROR(INDEX('Risk Register'!$B$6:$B$105,MATCH(A109,'Risk Register'!$A$6:$A$105,0)),"Unknown Risk ID"))</f>
        <v/>
      </c>
      <c r="D109" s="38" t="str">
        <f>IF(A109="","",IFERROR(INDEX('Risk Register'!$D$6:$D$105,MATCH(A109,'Risk Register'!$A$6:$A$105,0)),""))</f>
        <v/>
      </c>
      <c r="E109" s="37" t="str">
        <f>IF(A109="","",IFERROR(INDEX('Risk Register'!$O$6:$O$105,MATCH(A109,'Risk Register'!$A$6:$A$105,0)),0))</f>
        <v/>
      </c>
      <c r="F109" s="37" t="str">
        <f>IF(A109="","",IFERROR(IF(INDEX('Risk Register'!$U$6:$U$105,MATCH(A109,'Risk Register'!$A$6:$A$105,0))="Within appetite","No","Yes"),""))</f>
        <v/>
      </c>
      <c r="G109" s="64" t="str">
        <f>IF(A109="","",SUMIF('Scenario Analysis'!$C$8:$C$57,A109,'Scenario Analysis'!$K$8:$K$57))</f>
        <v/>
      </c>
      <c r="H109" s="37" t="str">
        <f t="shared" si="3"/>
        <v/>
      </c>
    </row>
    <row r="110" spans="1:8" x14ac:dyDescent="0.35">
      <c r="A110" s="35"/>
      <c r="B110" s="35"/>
      <c r="C110" s="44" t="str">
        <f>IF(A110="","",IFERROR(INDEX('Risk Register'!$B$6:$B$105,MATCH(A110,'Risk Register'!$A$6:$A$105,0)),"Unknown Risk ID"))</f>
        <v/>
      </c>
      <c r="D110" s="38" t="str">
        <f>IF(A110="","",IFERROR(INDEX('Risk Register'!$D$6:$D$105,MATCH(A110,'Risk Register'!$A$6:$A$105,0)),""))</f>
        <v/>
      </c>
      <c r="E110" s="37" t="str">
        <f>IF(A110="","",IFERROR(INDEX('Risk Register'!$O$6:$O$105,MATCH(A110,'Risk Register'!$A$6:$A$105,0)),0))</f>
        <v/>
      </c>
      <c r="F110" s="37" t="str">
        <f>IF(A110="","",IFERROR(IF(INDEX('Risk Register'!$U$6:$U$105,MATCH(A110,'Risk Register'!$A$6:$A$105,0))="Within appetite","No","Yes"),""))</f>
        <v/>
      </c>
      <c r="G110" s="64" t="str">
        <f>IF(A110="","",SUMIF('Scenario Analysis'!$C$8:$C$57,A110,'Scenario Analysis'!$K$8:$K$57))</f>
        <v/>
      </c>
      <c r="H110" s="37" t="str">
        <f t="shared" si="3"/>
        <v/>
      </c>
    </row>
    <row r="111" spans="1:8" x14ac:dyDescent="0.35">
      <c r="A111" s="35"/>
      <c r="B111" s="35"/>
      <c r="C111" s="44" t="str">
        <f>IF(A111="","",IFERROR(INDEX('Risk Register'!$B$6:$B$105,MATCH(A111,'Risk Register'!$A$6:$A$105,0)),"Unknown Risk ID"))</f>
        <v/>
      </c>
      <c r="D111" s="38" t="str">
        <f>IF(A111="","",IFERROR(INDEX('Risk Register'!$D$6:$D$105,MATCH(A111,'Risk Register'!$A$6:$A$105,0)),""))</f>
        <v/>
      </c>
      <c r="E111" s="37" t="str">
        <f>IF(A111="","",IFERROR(INDEX('Risk Register'!$O$6:$O$105,MATCH(A111,'Risk Register'!$A$6:$A$105,0)),0))</f>
        <v/>
      </c>
      <c r="F111" s="37" t="str">
        <f>IF(A111="","",IFERROR(IF(INDEX('Risk Register'!$U$6:$U$105,MATCH(A111,'Risk Register'!$A$6:$A$105,0))="Within appetite","No","Yes"),""))</f>
        <v/>
      </c>
      <c r="G111" s="64" t="str">
        <f>IF(A111="","",SUMIF('Scenario Analysis'!$C$8:$C$57,A111,'Scenario Analysis'!$K$8:$K$57))</f>
        <v/>
      </c>
      <c r="H111" s="37" t="str">
        <f t="shared" si="3"/>
        <v/>
      </c>
    </row>
    <row r="112" spans="1:8" x14ac:dyDescent="0.35">
      <c r="A112" s="35"/>
      <c r="B112" s="35"/>
      <c r="C112" s="44" t="str">
        <f>IF(A112="","",IFERROR(INDEX('Risk Register'!$B$6:$B$105,MATCH(A112,'Risk Register'!$A$6:$A$105,0)),"Unknown Risk ID"))</f>
        <v/>
      </c>
      <c r="D112" s="38" t="str">
        <f>IF(A112="","",IFERROR(INDEX('Risk Register'!$D$6:$D$105,MATCH(A112,'Risk Register'!$A$6:$A$105,0)),""))</f>
        <v/>
      </c>
      <c r="E112" s="37" t="str">
        <f>IF(A112="","",IFERROR(INDEX('Risk Register'!$O$6:$O$105,MATCH(A112,'Risk Register'!$A$6:$A$105,0)),0))</f>
        <v/>
      </c>
      <c r="F112" s="37" t="str">
        <f>IF(A112="","",IFERROR(IF(INDEX('Risk Register'!$U$6:$U$105,MATCH(A112,'Risk Register'!$A$6:$A$105,0))="Within appetite","No","Yes"),""))</f>
        <v/>
      </c>
      <c r="G112" s="64" t="str">
        <f>IF(A112="","",SUMIF('Scenario Analysis'!$C$8:$C$57,A112,'Scenario Analysis'!$K$8:$K$57))</f>
        <v/>
      </c>
      <c r="H112" s="37" t="str">
        <f t="shared" si="3"/>
        <v/>
      </c>
    </row>
    <row r="113" spans="1:8" x14ac:dyDescent="0.35">
      <c r="A113" s="35"/>
      <c r="B113" s="35"/>
      <c r="C113" s="44" t="str">
        <f>IF(A113="","",IFERROR(INDEX('Risk Register'!$B$6:$B$105,MATCH(A113,'Risk Register'!$A$6:$A$105,0)),"Unknown Risk ID"))</f>
        <v/>
      </c>
      <c r="D113" s="38" t="str">
        <f>IF(A113="","",IFERROR(INDEX('Risk Register'!$D$6:$D$105,MATCH(A113,'Risk Register'!$A$6:$A$105,0)),""))</f>
        <v/>
      </c>
      <c r="E113" s="37" t="str">
        <f>IF(A113="","",IFERROR(INDEX('Risk Register'!$O$6:$O$105,MATCH(A113,'Risk Register'!$A$6:$A$105,0)),0))</f>
        <v/>
      </c>
      <c r="F113" s="37" t="str">
        <f>IF(A113="","",IFERROR(IF(INDEX('Risk Register'!$U$6:$U$105,MATCH(A113,'Risk Register'!$A$6:$A$105,0))="Within appetite","No","Yes"),""))</f>
        <v/>
      </c>
      <c r="G113" s="64" t="str">
        <f>IF(A113="","",SUMIF('Scenario Analysis'!$C$8:$C$57,A113,'Scenario Analysis'!$K$8:$K$57))</f>
        <v/>
      </c>
      <c r="H113" s="37" t="str">
        <f t="shared" si="3"/>
        <v/>
      </c>
    </row>
    <row r="114" spans="1:8" x14ac:dyDescent="0.35">
      <c r="A114" s="35"/>
      <c r="B114" s="35"/>
      <c r="C114" s="44" t="str">
        <f>IF(A114="","",IFERROR(INDEX('Risk Register'!$B$6:$B$105,MATCH(A114,'Risk Register'!$A$6:$A$105,0)),"Unknown Risk ID"))</f>
        <v/>
      </c>
      <c r="D114" s="38" t="str">
        <f>IF(A114="","",IFERROR(INDEX('Risk Register'!$D$6:$D$105,MATCH(A114,'Risk Register'!$A$6:$A$105,0)),""))</f>
        <v/>
      </c>
      <c r="E114" s="37" t="str">
        <f>IF(A114="","",IFERROR(INDEX('Risk Register'!$O$6:$O$105,MATCH(A114,'Risk Register'!$A$6:$A$105,0)),0))</f>
        <v/>
      </c>
      <c r="F114" s="37" t="str">
        <f>IF(A114="","",IFERROR(IF(INDEX('Risk Register'!$U$6:$U$105,MATCH(A114,'Risk Register'!$A$6:$A$105,0))="Within appetite","No","Yes"),""))</f>
        <v/>
      </c>
      <c r="G114" s="64" t="str">
        <f>IF(A114="","",SUMIF('Scenario Analysis'!$C$8:$C$57,A114,'Scenario Analysis'!$K$8:$K$57))</f>
        <v/>
      </c>
      <c r="H114" s="37" t="str">
        <f t="shared" si="3"/>
        <v/>
      </c>
    </row>
    <row r="115" spans="1:8" x14ac:dyDescent="0.35">
      <c r="A115" s="35"/>
      <c r="B115" s="35"/>
      <c r="C115" s="44" t="str">
        <f>IF(A115="","",IFERROR(INDEX('Risk Register'!$B$6:$B$105,MATCH(A115,'Risk Register'!$A$6:$A$105,0)),"Unknown Risk ID"))</f>
        <v/>
      </c>
      <c r="D115" s="38" t="str">
        <f>IF(A115="","",IFERROR(INDEX('Risk Register'!$D$6:$D$105,MATCH(A115,'Risk Register'!$A$6:$A$105,0)),""))</f>
        <v/>
      </c>
      <c r="E115" s="37" t="str">
        <f>IF(A115="","",IFERROR(INDEX('Risk Register'!$O$6:$O$105,MATCH(A115,'Risk Register'!$A$6:$A$105,0)),0))</f>
        <v/>
      </c>
      <c r="F115" s="37" t="str">
        <f>IF(A115="","",IFERROR(IF(INDEX('Risk Register'!$U$6:$U$105,MATCH(A115,'Risk Register'!$A$6:$A$105,0))="Within appetite","No","Yes"),""))</f>
        <v/>
      </c>
      <c r="G115" s="64" t="str">
        <f>IF(A115="","",SUMIF('Scenario Analysis'!$C$8:$C$57,A115,'Scenario Analysis'!$K$8:$K$57))</f>
        <v/>
      </c>
      <c r="H115" s="37" t="str">
        <f t="shared" si="3"/>
        <v/>
      </c>
    </row>
    <row r="116" spans="1:8" x14ac:dyDescent="0.35">
      <c r="A116" s="35"/>
      <c r="B116" s="35"/>
      <c r="C116" s="44" t="str">
        <f>IF(A116="","",IFERROR(INDEX('Risk Register'!$B$6:$B$105,MATCH(A116,'Risk Register'!$A$6:$A$105,0)),"Unknown Risk ID"))</f>
        <v/>
      </c>
      <c r="D116" s="38" t="str">
        <f>IF(A116="","",IFERROR(INDEX('Risk Register'!$D$6:$D$105,MATCH(A116,'Risk Register'!$A$6:$A$105,0)),""))</f>
        <v/>
      </c>
      <c r="E116" s="37" t="str">
        <f>IF(A116="","",IFERROR(INDEX('Risk Register'!$O$6:$O$105,MATCH(A116,'Risk Register'!$A$6:$A$105,0)),0))</f>
        <v/>
      </c>
      <c r="F116" s="37" t="str">
        <f>IF(A116="","",IFERROR(IF(INDEX('Risk Register'!$U$6:$U$105,MATCH(A116,'Risk Register'!$A$6:$A$105,0))="Within appetite","No","Yes"),""))</f>
        <v/>
      </c>
      <c r="G116" s="64" t="str">
        <f>IF(A116="","",SUMIF('Scenario Analysis'!$C$8:$C$57,A116,'Scenario Analysis'!$K$8:$K$57))</f>
        <v/>
      </c>
      <c r="H116" s="37" t="str">
        <f t="shared" si="3"/>
        <v/>
      </c>
    </row>
    <row r="117" spans="1:8" x14ac:dyDescent="0.35">
      <c r="A117" s="35"/>
      <c r="B117" s="35"/>
      <c r="C117" s="44" t="str">
        <f>IF(A117="","",IFERROR(INDEX('Risk Register'!$B$6:$B$105,MATCH(A117,'Risk Register'!$A$6:$A$105,0)),"Unknown Risk ID"))</f>
        <v/>
      </c>
      <c r="D117" s="38" t="str">
        <f>IF(A117="","",IFERROR(INDEX('Risk Register'!$D$6:$D$105,MATCH(A117,'Risk Register'!$A$6:$A$105,0)),""))</f>
        <v/>
      </c>
      <c r="E117" s="37" t="str">
        <f>IF(A117="","",IFERROR(INDEX('Risk Register'!$O$6:$O$105,MATCH(A117,'Risk Register'!$A$6:$A$105,0)),0))</f>
        <v/>
      </c>
      <c r="F117" s="37" t="str">
        <f>IF(A117="","",IFERROR(IF(INDEX('Risk Register'!$U$6:$U$105,MATCH(A117,'Risk Register'!$A$6:$A$105,0))="Within appetite","No","Yes"),""))</f>
        <v/>
      </c>
      <c r="G117" s="64" t="str">
        <f>IF(A117="","",SUMIF('Scenario Analysis'!$C$8:$C$57,A117,'Scenario Analysis'!$K$8:$K$57))</f>
        <v/>
      </c>
      <c r="H117" s="37" t="str">
        <f t="shared" si="3"/>
        <v/>
      </c>
    </row>
    <row r="118" spans="1:8" x14ac:dyDescent="0.35">
      <c r="A118" s="35"/>
      <c r="B118" s="35"/>
      <c r="C118" s="44" t="str">
        <f>IF(A118="","",IFERROR(INDEX('Risk Register'!$B$6:$B$105,MATCH(A118,'Risk Register'!$A$6:$A$105,0)),"Unknown Risk ID"))</f>
        <v/>
      </c>
      <c r="D118" s="38" t="str">
        <f>IF(A118="","",IFERROR(INDEX('Risk Register'!$D$6:$D$105,MATCH(A118,'Risk Register'!$A$6:$A$105,0)),""))</f>
        <v/>
      </c>
      <c r="E118" s="37" t="str">
        <f>IF(A118="","",IFERROR(INDEX('Risk Register'!$O$6:$O$105,MATCH(A118,'Risk Register'!$A$6:$A$105,0)),0))</f>
        <v/>
      </c>
      <c r="F118" s="37" t="str">
        <f>IF(A118="","",IFERROR(IF(INDEX('Risk Register'!$U$6:$U$105,MATCH(A118,'Risk Register'!$A$6:$A$105,0))="Within appetite","No","Yes"),""))</f>
        <v/>
      </c>
      <c r="G118" s="64" t="str">
        <f>IF(A118="","",SUMIF('Scenario Analysis'!$C$8:$C$57,A118,'Scenario Analysis'!$K$8:$K$57))</f>
        <v/>
      </c>
      <c r="H118" s="37" t="str">
        <f t="shared" si="3"/>
        <v/>
      </c>
    </row>
    <row r="119" spans="1:8" x14ac:dyDescent="0.35">
      <c r="A119" s="35"/>
      <c r="B119" s="35"/>
      <c r="C119" s="44" t="str">
        <f>IF(A119="","",IFERROR(INDEX('Risk Register'!$B$6:$B$105,MATCH(A119,'Risk Register'!$A$6:$A$105,0)),"Unknown Risk ID"))</f>
        <v/>
      </c>
      <c r="D119" s="38" t="str">
        <f>IF(A119="","",IFERROR(INDEX('Risk Register'!$D$6:$D$105,MATCH(A119,'Risk Register'!$A$6:$A$105,0)),""))</f>
        <v/>
      </c>
      <c r="E119" s="37" t="str">
        <f>IF(A119="","",IFERROR(INDEX('Risk Register'!$O$6:$O$105,MATCH(A119,'Risk Register'!$A$6:$A$105,0)),0))</f>
        <v/>
      </c>
      <c r="F119" s="37" t="str">
        <f>IF(A119="","",IFERROR(IF(INDEX('Risk Register'!$U$6:$U$105,MATCH(A119,'Risk Register'!$A$6:$A$105,0))="Within appetite","No","Yes"),""))</f>
        <v/>
      </c>
      <c r="G119" s="64" t="str">
        <f>IF(A119="","",SUMIF('Scenario Analysis'!$C$8:$C$57,A119,'Scenario Analysis'!$K$8:$K$57))</f>
        <v/>
      </c>
      <c r="H119" s="37" t="str">
        <f t="shared" si="3"/>
        <v/>
      </c>
    </row>
    <row r="120" spans="1:8" x14ac:dyDescent="0.35">
      <c r="A120" s="35"/>
      <c r="B120" s="35"/>
      <c r="C120" s="44" t="str">
        <f>IF(A120="","",IFERROR(INDEX('Risk Register'!$B$6:$B$105,MATCH(A120,'Risk Register'!$A$6:$A$105,0)),"Unknown Risk ID"))</f>
        <v/>
      </c>
      <c r="D120" s="38" t="str">
        <f>IF(A120="","",IFERROR(INDEX('Risk Register'!$D$6:$D$105,MATCH(A120,'Risk Register'!$A$6:$A$105,0)),""))</f>
        <v/>
      </c>
      <c r="E120" s="37" t="str">
        <f>IF(A120="","",IFERROR(INDEX('Risk Register'!$O$6:$O$105,MATCH(A120,'Risk Register'!$A$6:$A$105,0)),0))</f>
        <v/>
      </c>
      <c r="F120" s="37" t="str">
        <f>IF(A120="","",IFERROR(IF(INDEX('Risk Register'!$U$6:$U$105,MATCH(A120,'Risk Register'!$A$6:$A$105,0))="Within appetite","No","Yes"),""))</f>
        <v/>
      </c>
      <c r="G120" s="64" t="str">
        <f>IF(A120="","",SUMIF('Scenario Analysis'!$C$8:$C$57,A120,'Scenario Analysis'!$K$8:$K$57))</f>
        <v/>
      </c>
      <c r="H120" s="37" t="str">
        <f t="shared" si="3"/>
        <v/>
      </c>
    </row>
    <row r="121" spans="1:8" x14ac:dyDescent="0.35">
      <c r="A121" s="35"/>
      <c r="B121" s="35"/>
      <c r="C121" s="44" t="str">
        <f>IF(A121="","",IFERROR(INDEX('Risk Register'!$B$6:$B$105,MATCH(A121,'Risk Register'!$A$6:$A$105,0)),"Unknown Risk ID"))</f>
        <v/>
      </c>
      <c r="D121" s="38" t="str">
        <f>IF(A121="","",IFERROR(INDEX('Risk Register'!$D$6:$D$105,MATCH(A121,'Risk Register'!$A$6:$A$105,0)),""))</f>
        <v/>
      </c>
      <c r="E121" s="37" t="str">
        <f>IF(A121="","",IFERROR(INDEX('Risk Register'!$O$6:$O$105,MATCH(A121,'Risk Register'!$A$6:$A$105,0)),0))</f>
        <v/>
      </c>
      <c r="F121" s="37" t="str">
        <f>IF(A121="","",IFERROR(IF(INDEX('Risk Register'!$U$6:$U$105,MATCH(A121,'Risk Register'!$A$6:$A$105,0))="Within appetite","No","Yes"),""))</f>
        <v/>
      </c>
      <c r="G121" s="64" t="str">
        <f>IF(A121="","",SUMIF('Scenario Analysis'!$C$8:$C$57,A121,'Scenario Analysis'!$K$8:$K$57))</f>
        <v/>
      </c>
      <c r="H121" s="37" t="str">
        <f t="shared" si="3"/>
        <v/>
      </c>
    </row>
    <row r="122" spans="1:8" x14ac:dyDescent="0.35">
      <c r="A122" s="35"/>
      <c r="B122" s="35"/>
      <c r="C122" s="44" t="str">
        <f>IF(A122="","",IFERROR(INDEX('Risk Register'!$B$6:$B$105,MATCH(A122,'Risk Register'!$A$6:$A$105,0)),"Unknown Risk ID"))</f>
        <v/>
      </c>
      <c r="D122" s="38" t="str">
        <f>IF(A122="","",IFERROR(INDEX('Risk Register'!$D$6:$D$105,MATCH(A122,'Risk Register'!$A$6:$A$105,0)),""))</f>
        <v/>
      </c>
      <c r="E122" s="37" t="str">
        <f>IF(A122="","",IFERROR(INDEX('Risk Register'!$O$6:$O$105,MATCH(A122,'Risk Register'!$A$6:$A$105,0)),0))</f>
        <v/>
      </c>
      <c r="F122" s="37" t="str">
        <f>IF(A122="","",IFERROR(IF(INDEX('Risk Register'!$U$6:$U$105,MATCH(A122,'Risk Register'!$A$6:$A$105,0))="Within appetite","No","Yes"),""))</f>
        <v/>
      </c>
      <c r="G122" s="64" t="str">
        <f>IF(A122="","",SUMIF('Scenario Analysis'!$C$8:$C$57,A122,'Scenario Analysis'!$K$8:$K$57))</f>
        <v/>
      </c>
      <c r="H122" s="37" t="str">
        <f t="shared" si="3"/>
        <v/>
      </c>
    </row>
    <row r="123" spans="1:8" x14ac:dyDescent="0.35">
      <c r="A123" s="35"/>
      <c r="B123" s="35"/>
      <c r="C123" s="44" t="str">
        <f>IF(A123="","",IFERROR(INDEX('Risk Register'!$B$6:$B$105,MATCH(A123,'Risk Register'!$A$6:$A$105,0)),"Unknown Risk ID"))</f>
        <v/>
      </c>
      <c r="D123" s="38" t="str">
        <f>IF(A123="","",IFERROR(INDEX('Risk Register'!$D$6:$D$105,MATCH(A123,'Risk Register'!$A$6:$A$105,0)),""))</f>
        <v/>
      </c>
      <c r="E123" s="37" t="str">
        <f>IF(A123="","",IFERROR(INDEX('Risk Register'!$O$6:$O$105,MATCH(A123,'Risk Register'!$A$6:$A$105,0)),0))</f>
        <v/>
      </c>
      <c r="F123" s="37" t="str">
        <f>IF(A123="","",IFERROR(IF(INDEX('Risk Register'!$U$6:$U$105,MATCH(A123,'Risk Register'!$A$6:$A$105,0))="Within appetite","No","Yes"),""))</f>
        <v/>
      </c>
      <c r="G123" s="64" t="str">
        <f>IF(A123="","",SUMIF('Scenario Analysis'!$C$8:$C$57,A123,'Scenario Analysis'!$K$8:$K$57))</f>
        <v/>
      </c>
      <c r="H123" s="37" t="str">
        <f t="shared" si="3"/>
        <v/>
      </c>
    </row>
    <row r="124" spans="1:8" x14ac:dyDescent="0.35">
      <c r="A124" s="35"/>
      <c r="B124" s="35"/>
      <c r="C124" s="44" t="str">
        <f>IF(A124="","",IFERROR(INDEX('Risk Register'!$B$6:$B$105,MATCH(A124,'Risk Register'!$A$6:$A$105,0)),"Unknown Risk ID"))</f>
        <v/>
      </c>
      <c r="D124" s="38" t="str">
        <f>IF(A124="","",IFERROR(INDEX('Risk Register'!$D$6:$D$105,MATCH(A124,'Risk Register'!$A$6:$A$105,0)),""))</f>
        <v/>
      </c>
      <c r="E124" s="37" t="str">
        <f>IF(A124="","",IFERROR(INDEX('Risk Register'!$O$6:$O$105,MATCH(A124,'Risk Register'!$A$6:$A$105,0)),0))</f>
        <v/>
      </c>
      <c r="F124" s="37" t="str">
        <f>IF(A124="","",IFERROR(IF(INDEX('Risk Register'!$U$6:$U$105,MATCH(A124,'Risk Register'!$A$6:$A$105,0))="Within appetite","No","Yes"),""))</f>
        <v/>
      </c>
      <c r="G124" s="64" t="str">
        <f>IF(A124="","",SUMIF('Scenario Analysis'!$C$8:$C$57,A124,'Scenario Analysis'!$K$8:$K$57))</f>
        <v/>
      </c>
      <c r="H124" s="37" t="str">
        <f t="shared" si="3"/>
        <v/>
      </c>
    </row>
    <row r="125" spans="1:8" x14ac:dyDescent="0.35">
      <c r="A125" s="35"/>
      <c r="B125" s="35"/>
      <c r="C125" s="44" t="str">
        <f>IF(A125="","",IFERROR(INDEX('Risk Register'!$B$6:$B$105,MATCH(A125,'Risk Register'!$A$6:$A$105,0)),"Unknown Risk ID"))</f>
        <v/>
      </c>
      <c r="D125" s="38" t="str">
        <f>IF(A125="","",IFERROR(INDEX('Risk Register'!$D$6:$D$105,MATCH(A125,'Risk Register'!$A$6:$A$105,0)),""))</f>
        <v/>
      </c>
      <c r="E125" s="37" t="str">
        <f>IF(A125="","",IFERROR(INDEX('Risk Register'!$O$6:$O$105,MATCH(A125,'Risk Register'!$A$6:$A$105,0)),0))</f>
        <v/>
      </c>
      <c r="F125" s="37" t="str">
        <f>IF(A125="","",IFERROR(IF(INDEX('Risk Register'!$U$6:$U$105,MATCH(A125,'Risk Register'!$A$6:$A$105,0))="Within appetite","No","Yes"),""))</f>
        <v/>
      </c>
      <c r="G125" s="64" t="str">
        <f>IF(A125="","",SUMIF('Scenario Analysis'!$C$8:$C$57,A125,'Scenario Analysis'!$K$8:$K$57))</f>
        <v/>
      </c>
      <c r="H125" s="37" t="str">
        <f t="shared" si="3"/>
        <v/>
      </c>
    </row>
    <row r="126" spans="1:8" x14ac:dyDescent="0.35">
      <c r="A126" s="35"/>
      <c r="B126" s="35"/>
      <c r="C126" s="44" t="str">
        <f>IF(A126="","",IFERROR(INDEX('Risk Register'!$B$6:$B$105,MATCH(A126,'Risk Register'!$A$6:$A$105,0)),"Unknown Risk ID"))</f>
        <v/>
      </c>
      <c r="D126" s="38" t="str">
        <f>IF(A126="","",IFERROR(INDEX('Risk Register'!$D$6:$D$105,MATCH(A126,'Risk Register'!$A$6:$A$105,0)),""))</f>
        <v/>
      </c>
      <c r="E126" s="37" t="str">
        <f>IF(A126="","",IFERROR(INDEX('Risk Register'!$O$6:$O$105,MATCH(A126,'Risk Register'!$A$6:$A$105,0)),0))</f>
        <v/>
      </c>
      <c r="F126" s="37" t="str">
        <f>IF(A126="","",IFERROR(IF(INDEX('Risk Register'!$U$6:$U$105,MATCH(A126,'Risk Register'!$A$6:$A$105,0))="Within appetite","No","Yes"),""))</f>
        <v/>
      </c>
      <c r="G126" s="64" t="str">
        <f>IF(A126="","",SUMIF('Scenario Analysis'!$C$8:$C$57,A126,'Scenario Analysis'!$K$8:$K$57))</f>
        <v/>
      </c>
      <c r="H126" s="37" t="str">
        <f t="shared" si="3"/>
        <v/>
      </c>
    </row>
    <row r="127" spans="1:8" x14ac:dyDescent="0.35">
      <c r="A127" s="35"/>
      <c r="B127" s="35"/>
      <c r="C127" s="44" t="str">
        <f>IF(A127="","",IFERROR(INDEX('Risk Register'!$B$6:$B$105,MATCH(A127,'Risk Register'!$A$6:$A$105,0)),"Unknown Risk ID"))</f>
        <v/>
      </c>
      <c r="D127" s="38" t="str">
        <f>IF(A127="","",IFERROR(INDEX('Risk Register'!$D$6:$D$105,MATCH(A127,'Risk Register'!$A$6:$A$105,0)),""))</f>
        <v/>
      </c>
      <c r="E127" s="37" t="str">
        <f>IF(A127="","",IFERROR(INDEX('Risk Register'!$O$6:$O$105,MATCH(A127,'Risk Register'!$A$6:$A$105,0)),0))</f>
        <v/>
      </c>
      <c r="F127" s="37" t="str">
        <f>IF(A127="","",IFERROR(IF(INDEX('Risk Register'!$U$6:$U$105,MATCH(A127,'Risk Register'!$A$6:$A$105,0))="Within appetite","No","Yes"),""))</f>
        <v/>
      </c>
      <c r="G127" s="64" t="str">
        <f>IF(A127="","",SUMIF('Scenario Analysis'!$C$8:$C$57,A127,'Scenario Analysis'!$K$8:$K$57))</f>
        <v/>
      </c>
      <c r="H127" s="37" t="str">
        <f t="shared" si="3"/>
        <v/>
      </c>
    </row>
    <row r="128" spans="1:8" x14ac:dyDescent="0.35">
      <c r="A128" s="35"/>
      <c r="B128" s="35"/>
      <c r="C128" s="44" t="str">
        <f>IF(A128="","",IFERROR(INDEX('Risk Register'!$B$6:$B$105,MATCH(A128,'Risk Register'!$A$6:$A$105,0)),"Unknown Risk ID"))</f>
        <v/>
      </c>
      <c r="D128" s="38" t="str">
        <f>IF(A128="","",IFERROR(INDEX('Risk Register'!$D$6:$D$105,MATCH(A128,'Risk Register'!$A$6:$A$105,0)),""))</f>
        <v/>
      </c>
      <c r="E128" s="37" t="str">
        <f>IF(A128="","",IFERROR(INDEX('Risk Register'!$O$6:$O$105,MATCH(A128,'Risk Register'!$A$6:$A$105,0)),0))</f>
        <v/>
      </c>
      <c r="F128" s="37" t="str">
        <f>IF(A128="","",IFERROR(IF(INDEX('Risk Register'!$U$6:$U$105,MATCH(A128,'Risk Register'!$A$6:$A$105,0))="Within appetite","No","Yes"),""))</f>
        <v/>
      </c>
      <c r="G128" s="64" t="str">
        <f>IF(A128="","",SUMIF('Scenario Analysis'!$C$8:$C$57,A128,'Scenario Analysis'!$K$8:$K$57))</f>
        <v/>
      </c>
      <c r="H128" s="37" t="str">
        <f t="shared" si="3"/>
        <v/>
      </c>
    </row>
    <row r="129" spans="1:8" x14ac:dyDescent="0.35">
      <c r="A129" s="35"/>
      <c r="B129" s="35"/>
      <c r="C129" s="44" t="str">
        <f>IF(A129="","",IFERROR(INDEX('Risk Register'!$B$6:$B$105,MATCH(A129,'Risk Register'!$A$6:$A$105,0)),"Unknown Risk ID"))</f>
        <v/>
      </c>
      <c r="D129" s="38" t="str">
        <f>IF(A129="","",IFERROR(INDEX('Risk Register'!$D$6:$D$105,MATCH(A129,'Risk Register'!$A$6:$A$105,0)),""))</f>
        <v/>
      </c>
      <c r="E129" s="37" t="str">
        <f>IF(A129="","",IFERROR(INDEX('Risk Register'!$O$6:$O$105,MATCH(A129,'Risk Register'!$A$6:$A$105,0)),0))</f>
        <v/>
      </c>
      <c r="F129" s="37" t="str">
        <f>IF(A129="","",IFERROR(IF(INDEX('Risk Register'!$U$6:$U$105,MATCH(A129,'Risk Register'!$A$6:$A$105,0))="Within appetite","No","Yes"),""))</f>
        <v/>
      </c>
      <c r="G129" s="64" t="str">
        <f>IF(A129="","",SUMIF('Scenario Analysis'!$C$8:$C$57,A129,'Scenario Analysis'!$K$8:$K$57))</f>
        <v/>
      </c>
      <c r="H129" s="37" t="str">
        <f t="shared" si="3"/>
        <v/>
      </c>
    </row>
    <row r="130" spans="1:8" x14ac:dyDescent="0.35">
      <c r="A130" s="35"/>
      <c r="B130" s="35"/>
      <c r="C130" s="44" t="str">
        <f>IF(A130="","",IFERROR(INDEX('Risk Register'!$B$6:$B$105,MATCH(A130,'Risk Register'!$A$6:$A$105,0)),"Unknown Risk ID"))</f>
        <v/>
      </c>
      <c r="D130" s="38" t="str">
        <f>IF(A130="","",IFERROR(INDEX('Risk Register'!$D$6:$D$105,MATCH(A130,'Risk Register'!$A$6:$A$105,0)),""))</f>
        <v/>
      </c>
      <c r="E130" s="37" t="str">
        <f>IF(A130="","",IFERROR(INDEX('Risk Register'!$O$6:$O$105,MATCH(A130,'Risk Register'!$A$6:$A$105,0)),0))</f>
        <v/>
      </c>
      <c r="F130" s="37" t="str">
        <f>IF(A130="","",IFERROR(IF(INDEX('Risk Register'!$U$6:$U$105,MATCH(A130,'Risk Register'!$A$6:$A$105,0))="Within appetite","No","Yes"),""))</f>
        <v/>
      </c>
      <c r="G130" s="64" t="str">
        <f>IF(A130="","",SUMIF('Scenario Analysis'!$C$8:$C$57,A130,'Scenario Analysis'!$K$8:$K$57))</f>
        <v/>
      </c>
      <c r="H130" s="37" t="str">
        <f t="shared" si="3"/>
        <v/>
      </c>
    </row>
    <row r="131" spans="1:8" x14ac:dyDescent="0.35">
      <c r="A131" s="35"/>
      <c r="B131" s="35"/>
      <c r="C131" s="44" t="str">
        <f>IF(A131="","",IFERROR(INDEX('Risk Register'!$B$6:$B$105,MATCH(A131,'Risk Register'!$A$6:$A$105,0)),"Unknown Risk ID"))</f>
        <v/>
      </c>
      <c r="D131" s="38" t="str">
        <f>IF(A131="","",IFERROR(INDEX('Risk Register'!$D$6:$D$105,MATCH(A131,'Risk Register'!$A$6:$A$105,0)),""))</f>
        <v/>
      </c>
      <c r="E131" s="37" t="str">
        <f>IF(A131="","",IFERROR(INDEX('Risk Register'!$O$6:$O$105,MATCH(A131,'Risk Register'!$A$6:$A$105,0)),0))</f>
        <v/>
      </c>
      <c r="F131" s="37" t="str">
        <f>IF(A131="","",IFERROR(IF(INDEX('Risk Register'!$U$6:$U$105,MATCH(A131,'Risk Register'!$A$6:$A$105,0))="Within appetite","No","Yes"),""))</f>
        <v/>
      </c>
      <c r="G131" s="64" t="str">
        <f>IF(A131="","",SUMIF('Scenario Analysis'!$C$8:$C$57,A131,'Scenario Analysis'!$K$8:$K$57))</f>
        <v/>
      </c>
      <c r="H131" s="37" t="str">
        <f t="shared" si="3"/>
        <v/>
      </c>
    </row>
    <row r="132" spans="1:8" x14ac:dyDescent="0.35">
      <c r="A132" s="35"/>
      <c r="B132" s="35"/>
      <c r="C132" s="44" t="str">
        <f>IF(A132="","",IFERROR(INDEX('Risk Register'!$B$6:$B$105,MATCH(A132,'Risk Register'!$A$6:$A$105,0)),"Unknown Risk ID"))</f>
        <v/>
      </c>
      <c r="D132" s="38" t="str">
        <f>IF(A132="","",IFERROR(INDEX('Risk Register'!$D$6:$D$105,MATCH(A132,'Risk Register'!$A$6:$A$105,0)),""))</f>
        <v/>
      </c>
      <c r="E132" s="37" t="str">
        <f>IF(A132="","",IFERROR(INDEX('Risk Register'!$O$6:$O$105,MATCH(A132,'Risk Register'!$A$6:$A$105,0)),0))</f>
        <v/>
      </c>
      <c r="F132" s="37" t="str">
        <f>IF(A132="","",IFERROR(IF(INDEX('Risk Register'!$U$6:$U$105,MATCH(A132,'Risk Register'!$A$6:$A$105,0))="Within appetite","No","Yes"),""))</f>
        <v/>
      </c>
      <c r="G132" s="64" t="str">
        <f>IF(A132="","",SUMIF('Scenario Analysis'!$C$8:$C$57,A132,'Scenario Analysis'!$K$8:$K$57))</f>
        <v/>
      </c>
      <c r="H132" s="37" t="str">
        <f t="shared" si="3"/>
        <v/>
      </c>
    </row>
    <row r="133" spans="1:8" x14ac:dyDescent="0.35">
      <c r="A133" s="35"/>
      <c r="B133" s="35"/>
      <c r="C133" s="44" t="str">
        <f>IF(A133="","",IFERROR(INDEX('Risk Register'!$B$6:$B$105,MATCH(A133,'Risk Register'!$A$6:$A$105,0)),"Unknown Risk ID"))</f>
        <v/>
      </c>
      <c r="D133" s="38" t="str">
        <f>IF(A133="","",IFERROR(INDEX('Risk Register'!$D$6:$D$105,MATCH(A133,'Risk Register'!$A$6:$A$105,0)),""))</f>
        <v/>
      </c>
      <c r="E133" s="37" t="str">
        <f>IF(A133="","",IFERROR(INDEX('Risk Register'!$O$6:$O$105,MATCH(A133,'Risk Register'!$A$6:$A$105,0)),0))</f>
        <v/>
      </c>
      <c r="F133" s="37" t="str">
        <f>IF(A133="","",IFERROR(IF(INDEX('Risk Register'!$U$6:$U$105,MATCH(A133,'Risk Register'!$A$6:$A$105,0))="Within appetite","No","Yes"),""))</f>
        <v/>
      </c>
      <c r="G133" s="64" t="str">
        <f>IF(A133="","",SUMIF('Scenario Analysis'!$C$8:$C$57,A133,'Scenario Analysis'!$K$8:$K$57))</f>
        <v/>
      </c>
      <c r="H133" s="37" t="str">
        <f t="shared" si="3"/>
        <v/>
      </c>
    </row>
    <row r="134" spans="1:8" x14ac:dyDescent="0.35">
      <c r="A134" s="35"/>
      <c r="B134" s="35"/>
      <c r="C134" s="44" t="str">
        <f>IF(A134="","",IFERROR(INDEX('Risk Register'!$B$6:$B$105,MATCH(A134,'Risk Register'!$A$6:$A$105,0)),"Unknown Risk ID"))</f>
        <v/>
      </c>
      <c r="D134" s="38" t="str">
        <f>IF(A134="","",IFERROR(INDEX('Risk Register'!$D$6:$D$105,MATCH(A134,'Risk Register'!$A$6:$A$105,0)),""))</f>
        <v/>
      </c>
      <c r="E134" s="37" t="str">
        <f>IF(A134="","",IFERROR(INDEX('Risk Register'!$O$6:$O$105,MATCH(A134,'Risk Register'!$A$6:$A$105,0)),0))</f>
        <v/>
      </c>
      <c r="F134" s="37" t="str">
        <f>IF(A134="","",IFERROR(IF(INDEX('Risk Register'!$U$6:$U$105,MATCH(A134,'Risk Register'!$A$6:$A$105,0))="Within appetite","No","Yes"),""))</f>
        <v/>
      </c>
      <c r="G134" s="64" t="str">
        <f>IF(A134="","",SUMIF('Scenario Analysis'!$C$8:$C$57,A134,'Scenario Analysis'!$K$8:$K$57))</f>
        <v/>
      </c>
      <c r="H134" s="37" t="str">
        <f t="shared" ref="H134:H165" si="4">IF(OR(A134="",B134=""),"",IF(COUNTIFS($A$6:$A$205,A134,$B$6:$B$205,B134)&gt;1,"Duplicate",""))</f>
        <v/>
      </c>
    </row>
    <row r="135" spans="1:8" x14ac:dyDescent="0.35">
      <c r="A135" s="35"/>
      <c r="B135" s="35"/>
      <c r="C135" s="44" t="str">
        <f>IF(A135="","",IFERROR(INDEX('Risk Register'!$B$6:$B$105,MATCH(A135,'Risk Register'!$A$6:$A$105,0)),"Unknown Risk ID"))</f>
        <v/>
      </c>
      <c r="D135" s="38" t="str">
        <f>IF(A135="","",IFERROR(INDEX('Risk Register'!$D$6:$D$105,MATCH(A135,'Risk Register'!$A$6:$A$105,0)),""))</f>
        <v/>
      </c>
      <c r="E135" s="37" t="str">
        <f>IF(A135="","",IFERROR(INDEX('Risk Register'!$O$6:$O$105,MATCH(A135,'Risk Register'!$A$6:$A$105,0)),0))</f>
        <v/>
      </c>
      <c r="F135" s="37" t="str">
        <f>IF(A135="","",IFERROR(IF(INDEX('Risk Register'!$U$6:$U$105,MATCH(A135,'Risk Register'!$A$6:$A$105,0))="Within appetite","No","Yes"),""))</f>
        <v/>
      </c>
      <c r="G135" s="64" t="str">
        <f>IF(A135="","",SUMIF('Scenario Analysis'!$C$8:$C$57,A135,'Scenario Analysis'!$K$8:$K$57))</f>
        <v/>
      </c>
      <c r="H135" s="37" t="str">
        <f t="shared" si="4"/>
        <v/>
      </c>
    </row>
    <row r="136" spans="1:8" x14ac:dyDescent="0.35">
      <c r="A136" s="35"/>
      <c r="B136" s="35"/>
      <c r="C136" s="44" t="str">
        <f>IF(A136="","",IFERROR(INDEX('Risk Register'!$B$6:$B$105,MATCH(A136,'Risk Register'!$A$6:$A$105,0)),"Unknown Risk ID"))</f>
        <v/>
      </c>
      <c r="D136" s="38" t="str">
        <f>IF(A136="","",IFERROR(INDEX('Risk Register'!$D$6:$D$105,MATCH(A136,'Risk Register'!$A$6:$A$105,0)),""))</f>
        <v/>
      </c>
      <c r="E136" s="37" t="str">
        <f>IF(A136="","",IFERROR(INDEX('Risk Register'!$O$6:$O$105,MATCH(A136,'Risk Register'!$A$6:$A$105,0)),0))</f>
        <v/>
      </c>
      <c r="F136" s="37" t="str">
        <f>IF(A136="","",IFERROR(IF(INDEX('Risk Register'!$U$6:$U$105,MATCH(A136,'Risk Register'!$A$6:$A$105,0))="Within appetite","No","Yes"),""))</f>
        <v/>
      </c>
      <c r="G136" s="64" t="str">
        <f>IF(A136="","",SUMIF('Scenario Analysis'!$C$8:$C$57,A136,'Scenario Analysis'!$K$8:$K$57))</f>
        <v/>
      </c>
      <c r="H136" s="37" t="str">
        <f t="shared" si="4"/>
        <v/>
      </c>
    </row>
    <row r="137" spans="1:8" x14ac:dyDescent="0.35">
      <c r="A137" s="35"/>
      <c r="B137" s="35"/>
      <c r="C137" s="44" t="str">
        <f>IF(A137="","",IFERROR(INDEX('Risk Register'!$B$6:$B$105,MATCH(A137,'Risk Register'!$A$6:$A$105,0)),"Unknown Risk ID"))</f>
        <v/>
      </c>
      <c r="D137" s="38" t="str">
        <f>IF(A137="","",IFERROR(INDEX('Risk Register'!$D$6:$D$105,MATCH(A137,'Risk Register'!$A$6:$A$105,0)),""))</f>
        <v/>
      </c>
      <c r="E137" s="37" t="str">
        <f>IF(A137="","",IFERROR(INDEX('Risk Register'!$O$6:$O$105,MATCH(A137,'Risk Register'!$A$6:$A$105,0)),0))</f>
        <v/>
      </c>
      <c r="F137" s="37" t="str">
        <f>IF(A137="","",IFERROR(IF(INDEX('Risk Register'!$U$6:$U$105,MATCH(A137,'Risk Register'!$A$6:$A$105,0))="Within appetite","No","Yes"),""))</f>
        <v/>
      </c>
      <c r="G137" s="64" t="str">
        <f>IF(A137="","",SUMIF('Scenario Analysis'!$C$8:$C$57,A137,'Scenario Analysis'!$K$8:$K$57))</f>
        <v/>
      </c>
      <c r="H137" s="37" t="str">
        <f t="shared" si="4"/>
        <v/>
      </c>
    </row>
    <row r="138" spans="1:8" x14ac:dyDescent="0.35">
      <c r="A138" s="35"/>
      <c r="B138" s="35"/>
      <c r="C138" s="44" t="str">
        <f>IF(A138="","",IFERROR(INDEX('Risk Register'!$B$6:$B$105,MATCH(A138,'Risk Register'!$A$6:$A$105,0)),"Unknown Risk ID"))</f>
        <v/>
      </c>
      <c r="D138" s="38" t="str">
        <f>IF(A138="","",IFERROR(INDEX('Risk Register'!$D$6:$D$105,MATCH(A138,'Risk Register'!$A$6:$A$105,0)),""))</f>
        <v/>
      </c>
      <c r="E138" s="37" t="str">
        <f>IF(A138="","",IFERROR(INDEX('Risk Register'!$O$6:$O$105,MATCH(A138,'Risk Register'!$A$6:$A$105,0)),0))</f>
        <v/>
      </c>
      <c r="F138" s="37" t="str">
        <f>IF(A138="","",IFERROR(IF(INDEX('Risk Register'!$U$6:$U$105,MATCH(A138,'Risk Register'!$A$6:$A$105,0))="Within appetite","No","Yes"),""))</f>
        <v/>
      </c>
      <c r="G138" s="64" t="str">
        <f>IF(A138="","",SUMIF('Scenario Analysis'!$C$8:$C$57,A138,'Scenario Analysis'!$K$8:$K$57))</f>
        <v/>
      </c>
      <c r="H138" s="37" t="str">
        <f t="shared" si="4"/>
        <v/>
      </c>
    </row>
    <row r="139" spans="1:8" x14ac:dyDescent="0.35">
      <c r="A139" s="35"/>
      <c r="B139" s="35"/>
      <c r="C139" s="44" t="str">
        <f>IF(A139="","",IFERROR(INDEX('Risk Register'!$B$6:$B$105,MATCH(A139,'Risk Register'!$A$6:$A$105,0)),"Unknown Risk ID"))</f>
        <v/>
      </c>
      <c r="D139" s="38" t="str">
        <f>IF(A139="","",IFERROR(INDEX('Risk Register'!$D$6:$D$105,MATCH(A139,'Risk Register'!$A$6:$A$105,0)),""))</f>
        <v/>
      </c>
      <c r="E139" s="37" t="str">
        <f>IF(A139="","",IFERROR(INDEX('Risk Register'!$O$6:$O$105,MATCH(A139,'Risk Register'!$A$6:$A$105,0)),0))</f>
        <v/>
      </c>
      <c r="F139" s="37" t="str">
        <f>IF(A139="","",IFERROR(IF(INDEX('Risk Register'!$U$6:$U$105,MATCH(A139,'Risk Register'!$A$6:$A$105,0))="Within appetite","No","Yes"),""))</f>
        <v/>
      </c>
      <c r="G139" s="64" t="str">
        <f>IF(A139="","",SUMIF('Scenario Analysis'!$C$8:$C$57,A139,'Scenario Analysis'!$K$8:$K$57))</f>
        <v/>
      </c>
      <c r="H139" s="37" t="str">
        <f t="shared" si="4"/>
        <v/>
      </c>
    </row>
    <row r="140" spans="1:8" x14ac:dyDescent="0.35">
      <c r="A140" s="35"/>
      <c r="B140" s="35"/>
      <c r="C140" s="44" t="str">
        <f>IF(A140="","",IFERROR(INDEX('Risk Register'!$B$6:$B$105,MATCH(A140,'Risk Register'!$A$6:$A$105,0)),"Unknown Risk ID"))</f>
        <v/>
      </c>
      <c r="D140" s="38" t="str">
        <f>IF(A140="","",IFERROR(INDEX('Risk Register'!$D$6:$D$105,MATCH(A140,'Risk Register'!$A$6:$A$105,0)),""))</f>
        <v/>
      </c>
      <c r="E140" s="37" t="str">
        <f>IF(A140="","",IFERROR(INDEX('Risk Register'!$O$6:$O$105,MATCH(A140,'Risk Register'!$A$6:$A$105,0)),0))</f>
        <v/>
      </c>
      <c r="F140" s="37" t="str">
        <f>IF(A140="","",IFERROR(IF(INDEX('Risk Register'!$U$6:$U$105,MATCH(A140,'Risk Register'!$A$6:$A$105,0))="Within appetite","No","Yes"),""))</f>
        <v/>
      </c>
      <c r="G140" s="64" t="str">
        <f>IF(A140="","",SUMIF('Scenario Analysis'!$C$8:$C$57,A140,'Scenario Analysis'!$K$8:$K$57))</f>
        <v/>
      </c>
      <c r="H140" s="37" t="str">
        <f t="shared" si="4"/>
        <v/>
      </c>
    </row>
    <row r="141" spans="1:8" x14ac:dyDescent="0.35">
      <c r="A141" s="35"/>
      <c r="B141" s="35"/>
      <c r="C141" s="44" t="str">
        <f>IF(A141="","",IFERROR(INDEX('Risk Register'!$B$6:$B$105,MATCH(A141,'Risk Register'!$A$6:$A$105,0)),"Unknown Risk ID"))</f>
        <v/>
      </c>
      <c r="D141" s="38" t="str">
        <f>IF(A141="","",IFERROR(INDEX('Risk Register'!$D$6:$D$105,MATCH(A141,'Risk Register'!$A$6:$A$105,0)),""))</f>
        <v/>
      </c>
      <c r="E141" s="37" t="str">
        <f>IF(A141="","",IFERROR(INDEX('Risk Register'!$O$6:$O$105,MATCH(A141,'Risk Register'!$A$6:$A$105,0)),0))</f>
        <v/>
      </c>
      <c r="F141" s="37" t="str">
        <f>IF(A141="","",IFERROR(IF(INDEX('Risk Register'!$U$6:$U$105,MATCH(A141,'Risk Register'!$A$6:$A$105,0))="Within appetite","No","Yes"),""))</f>
        <v/>
      </c>
      <c r="G141" s="64" t="str">
        <f>IF(A141="","",SUMIF('Scenario Analysis'!$C$8:$C$57,A141,'Scenario Analysis'!$K$8:$K$57))</f>
        <v/>
      </c>
      <c r="H141" s="37" t="str">
        <f t="shared" si="4"/>
        <v/>
      </c>
    </row>
    <row r="142" spans="1:8" x14ac:dyDescent="0.35">
      <c r="A142" s="35"/>
      <c r="B142" s="35"/>
      <c r="C142" s="44" t="str">
        <f>IF(A142="","",IFERROR(INDEX('Risk Register'!$B$6:$B$105,MATCH(A142,'Risk Register'!$A$6:$A$105,0)),"Unknown Risk ID"))</f>
        <v/>
      </c>
      <c r="D142" s="38" t="str">
        <f>IF(A142="","",IFERROR(INDEX('Risk Register'!$D$6:$D$105,MATCH(A142,'Risk Register'!$A$6:$A$105,0)),""))</f>
        <v/>
      </c>
      <c r="E142" s="37" t="str">
        <f>IF(A142="","",IFERROR(INDEX('Risk Register'!$O$6:$O$105,MATCH(A142,'Risk Register'!$A$6:$A$105,0)),0))</f>
        <v/>
      </c>
      <c r="F142" s="37" t="str">
        <f>IF(A142="","",IFERROR(IF(INDEX('Risk Register'!$U$6:$U$105,MATCH(A142,'Risk Register'!$A$6:$A$105,0))="Within appetite","No","Yes"),""))</f>
        <v/>
      </c>
      <c r="G142" s="64" t="str">
        <f>IF(A142="","",SUMIF('Scenario Analysis'!$C$8:$C$57,A142,'Scenario Analysis'!$K$8:$K$57))</f>
        <v/>
      </c>
      <c r="H142" s="37" t="str">
        <f t="shared" si="4"/>
        <v/>
      </c>
    </row>
    <row r="143" spans="1:8" x14ac:dyDescent="0.35">
      <c r="A143" s="35"/>
      <c r="B143" s="35"/>
      <c r="C143" s="44" t="str">
        <f>IF(A143="","",IFERROR(INDEX('Risk Register'!$B$6:$B$105,MATCH(A143,'Risk Register'!$A$6:$A$105,0)),"Unknown Risk ID"))</f>
        <v/>
      </c>
      <c r="D143" s="38" t="str">
        <f>IF(A143="","",IFERROR(INDEX('Risk Register'!$D$6:$D$105,MATCH(A143,'Risk Register'!$A$6:$A$105,0)),""))</f>
        <v/>
      </c>
      <c r="E143" s="37" t="str">
        <f>IF(A143="","",IFERROR(INDEX('Risk Register'!$O$6:$O$105,MATCH(A143,'Risk Register'!$A$6:$A$105,0)),0))</f>
        <v/>
      </c>
      <c r="F143" s="37" t="str">
        <f>IF(A143="","",IFERROR(IF(INDEX('Risk Register'!$U$6:$U$105,MATCH(A143,'Risk Register'!$A$6:$A$105,0))="Within appetite","No","Yes"),""))</f>
        <v/>
      </c>
      <c r="G143" s="64" t="str">
        <f>IF(A143="","",SUMIF('Scenario Analysis'!$C$8:$C$57,A143,'Scenario Analysis'!$K$8:$K$57))</f>
        <v/>
      </c>
      <c r="H143" s="37" t="str">
        <f t="shared" si="4"/>
        <v/>
      </c>
    </row>
    <row r="144" spans="1:8" x14ac:dyDescent="0.35">
      <c r="A144" s="35"/>
      <c r="B144" s="35"/>
      <c r="C144" s="44" t="str">
        <f>IF(A144="","",IFERROR(INDEX('Risk Register'!$B$6:$B$105,MATCH(A144,'Risk Register'!$A$6:$A$105,0)),"Unknown Risk ID"))</f>
        <v/>
      </c>
      <c r="D144" s="38" t="str">
        <f>IF(A144="","",IFERROR(INDEX('Risk Register'!$D$6:$D$105,MATCH(A144,'Risk Register'!$A$6:$A$105,0)),""))</f>
        <v/>
      </c>
      <c r="E144" s="37" t="str">
        <f>IF(A144="","",IFERROR(INDEX('Risk Register'!$O$6:$O$105,MATCH(A144,'Risk Register'!$A$6:$A$105,0)),0))</f>
        <v/>
      </c>
      <c r="F144" s="37" t="str">
        <f>IF(A144="","",IFERROR(IF(INDEX('Risk Register'!$U$6:$U$105,MATCH(A144,'Risk Register'!$A$6:$A$105,0))="Within appetite","No","Yes"),""))</f>
        <v/>
      </c>
      <c r="G144" s="64" t="str">
        <f>IF(A144="","",SUMIF('Scenario Analysis'!$C$8:$C$57,A144,'Scenario Analysis'!$K$8:$K$57))</f>
        <v/>
      </c>
      <c r="H144" s="37" t="str">
        <f t="shared" si="4"/>
        <v/>
      </c>
    </row>
    <row r="145" spans="1:8" x14ac:dyDescent="0.35">
      <c r="A145" s="35"/>
      <c r="B145" s="35"/>
      <c r="C145" s="44" t="str">
        <f>IF(A145="","",IFERROR(INDEX('Risk Register'!$B$6:$B$105,MATCH(A145,'Risk Register'!$A$6:$A$105,0)),"Unknown Risk ID"))</f>
        <v/>
      </c>
      <c r="D145" s="38" t="str">
        <f>IF(A145="","",IFERROR(INDEX('Risk Register'!$D$6:$D$105,MATCH(A145,'Risk Register'!$A$6:$A$105,0)),""))</f>
        <v/>
      </c>
      <c r="E145" s="37" t="str">
        <f>IF(A145="","",IFERROR(INDEX('Risk Register'!$O$6:$O$105,MATCH(A145,'Risk Register'!$A$6:$A$105,0)),0))</f>
        <v/>
      </c>
      <c r="F145" s="37" t="str">
        <f>IF(A145="","",IFERROR(IF(INDEX('Risk Register'!$U$6:$U$105,MATCH(A145,'Risk Register'!$A$6:$A$105,0))="Within appetite","No","Yes"),""))</f>
        <v/>
      </c>
      <c r="G145" s="64" t="str">
        <f>IF(A145="","",SUMIF('Scenario Analysis'!$C$8:$C$57,A145,'Scenario Analysis'!$K$8:$K$57))</f>
        <v/>
      </c>
      <c r="H145" s="37" t="str">
        <f t="shared" si="4"/>
        <v/>
      </c>
    </row>
    <row r="146" spans="1:8" x14ac:dyDescent="0.35">
      <c r="A146" s="35"/>
      <c r="B146" s="35"/>
      <c r="C146" s="44" t="str">
        <f>IF(A146="","",IFERROR(INDEX('Risk Register'!$B$6:$B$105,MATCH(A146,'Risk Register'!$A$6:$A$105,0)),"Unknown Risk ID"))</f>
        <v/>
      </c>
      <c r="D146" s="38" t="str">
        <f>IF(A146="","",IFERROR(INDEX('Risk Register'!$D$6:$D$105,MATCH(A146,'Risk Register'!$A$6:$A$105,0)),""))</f>
        <v/>
      </c>
      <c r="E146" s="37" t="str">
        <f>IF(A146="","",IFERROR(INDEX('Risk Register'!$O$6:$O$105,MATCH(A146,'Risk Register'!$A$6:$A$105,0)),0))</f>
        <v/>
      </c>
      <c r="F146" s="37" t="str">
        <f>IF(A146="","",IFERROR(IF(INDEX('Risk Register'!$U$6:$U$105,MATCH(A146,'Risk Register'!$A$6:$A$105,0))="Within appetite","No","Yes"),""))</f>
        <v/>
      </c>
      <c r="G146" s="64" t="str">
        <f>IF(A146="","",SUMIF('Scenario Analysis'!$C$8:$C$57,A146,'Scenario Analysis'!$K$8:$K$57))</f>
        <v/>
      </c>
      <c r="H146" s="37" t="str">
        <f t="shared" si="4"/>
        <v/>
      </c>
    </row>
    <row r="147" spans="1:8" x14ac:dyDescent="0.35">
      <c r="A147" s="35"/>
      <c r="B147" s="35"/>
      <c r="C147" s="44" t="str">
        <f>IF(A147="","",IFERROR(INDEX('Risk Register'!$B$6:$B$105,MATCH(A147,'Risk Register'!$A$6:$A$105,0)),"Unknown Risk ID"))</f>
        <v/>
      </c>
      <c r="D147" s="38" t="str">
        <f>IF(A147="","",IFERROR(INDEX('Risk Register'!$D$6:$D$105,MATCH(A147,'Risk Register'!$A$6:$A$105,0)),""))</f>
        <v/>
      </c>
      <c r="E147" s="37" t="str">
        <f>IF(A147="","",IFERROR(INDEX('Risk Register'!$O$6:$O$105,MATCH(A147,'Risk Register'!$A$6:$A$105,0)),0))</f>
        <v/>
      </c>
      <c r="F147" s="37" t="str">
        <f>IF(A147="","",IFERROR(IF(INDEX('Risk Register'!$U$6:$U$105,MATCH(A147,'Risk Register'!$A$6:$A$105,0))="Within appetite","No","Yes"),""))</f>
        <v/>
      </c>
      <c r="G147" s="64" t="str">
        <f>IF(A147="","",SUMIF('Scenario Analysis'!$C$8:$C$57,A147,'Scenario Analysis'!$K$8:$K$57))</f>
        <v/>
      </c>
      <c r="H147" s="37" t="str">
        <f t="shared" si="4"/>
        <v/>
      </c>
    </row>
    <row r="148" spans="1:8" x14ac:dyDescent="0.35">
      <c r="A148" s="35"/>
      <c r="B148" s="35"/>
      <c r="C148" s="44" t="str">
        <f>IF(A148="","",IFERROR(INDEX('Risk Register'!$B$6:$B$105,MATCH(A148,'Risk Register'!$A$6:$A$105,0)),"Unknown Risk ID"))</f>
        <v/>
      </c>
      <c r="D148" s="38" t="str">
        <f>IF(A148="","",IFERROR(INDEX('Risk Register'!$D$6:$D$105,MATCH(A148,'Risk Register'!$A$6:$A$105,0)),""))</f>
        <v/>
      </c>
      <c r="E148" s="37" t="str">
        <f>IF(A148="","",IFERROR(INDEX('Risk Register'!$O$6:$O$105,MATCH(A148,'Risk Register'!$A$6:$A$105,0)),0))</f>
        <v/>
      </c>
      <c r="F148" s="37" t="str">
        <f>IF(A148="","",IFERROR(IF(INDEX('Risk Register'!$U$6:$U$105,MATCH(A148,'Risk Register'!$A$6:$A$105,0))="Within appetite","No","Yes"),""))</f>
        <v/>
      </c>
      <c r="G148" s="64" t="str">
        <f>IF(A148="","",SUMIF('Scenario Analysis'!$C$8:$C$57,A148,'Scenario Analysis'!$K$8:$K$57))</f>
        <v/>
      </c>
      <c r="H148" s="37" t="str">
        <f t="shared" si="4"/>
        <v/>
      </c>
    </row>
    <row r="149" spans="1:8" x14ac:dyDescent="0.35">
      <c r="A149" s="35"/>
      <c r="B149" s="35"/>
      <c r="C149" s="44" t="str">
        <f>IF(A149="","",IFERROR(INDEX('Risk Register'!$B$6:$B$105,MATCH(A149,'Risk Register'!$A$6:$A$105,0)),"Unknown Risk ID"))</f>
        <v/>
      </c>
      <c r="D149" s="38" t="str">
        <f>IF(A149="","",IFERROR(INDEX('Risk Register'!$D$6:$D$105,MATCH(A149,'Risk Register'!$A$6:$A$105,0)),""))</f>
        <v/>
      </c>
      <c r="E149" s="37" t="str">
        <f>IF(A149="","",IFERROR(INDEX('Risk Register'!$O$6:$O$105,MATCH(A149,'Risk Register'!$A$6:$A$105,0)),0))</f>
        <v/>
      </c>
      <c r="F149" s="37" t="str">
        <f>IF(A149="","",IFERROR(IF(INDEX('Risk Register'!$U$6:$U$105,MATCH(A149,'Risk Register'!$A$6:$A$105,0))="Within appetite","No","Yes"),""))</f>
        <v/>
      </c>
      <c r="G149" s="64" t="str">
        <f>IF(A149="","",SUMIF('Scenario Analysis'!$C$8:$C$57,A149,'Scenario Analysis'!$K$8:$K$57))</f>
        <v/>
      </c>
      <c r="H149" s="37" t="str">
        <f t="shared" si="4"/>
        <v/>
      </c>
    </row>
    <row r="150" spans="1:8" x14ac:dyDescent="0.35">
      <c r="A150" s="35"/>
      <c r="B150" s="35"/>
      <c r="C150" s="44" t="str">
        <f>IF(A150="","",IFERROR(INDEX('Risk Register'!$B$6:$B$105,MATCH(A150,'Risk Register'!$A$6:$A$105,0)),"Unknown Risk ID"))</f>
        <v/>
      </c>
      <c r="D150" s="38" t="str">
        <f>IF(A150="","",IFERROR(INDEX('Risk Register'!$D$6:$D$105,MATCH(A150,'Risk Register'!$A$6:$A$105,0)),""))</f>
        <v/>
      </c>
      <c r="E150" s="37" t="str">
        <f>IF(A150="","",IFERROR(INDEX('Risk Register'!$O$6:$O$105,MATCH(A150,'Risk Register'!$A$6:$A$105,0)),0))</f>
        <v/>
      </c>
      <c r="F150" s="37" t="str">
        <f>IF(A150="","",IFERROR(IF(INDEX('Risk Register'!$U$6:$U$105,MATCH(A150,'Risk Register'!$A$6:$A$105,0))="Within appetite","No","Yes"),""))</f>
        <v/>
      </c>
      <c r="G150" s="64" t="str">
        <f>IF(A150="","",SUMIF('Scenario Analysis'!$C$8:$C$57,A150,'Scenario Analysis'!$K$8:$K$57))</f>
        <v/>
      </c>
      <c r="H150" s="37" t="str">
        <f t="shared" si="4"/>
        <v/>
      </c>
    </row>
    <row r="151" spans="1:8" x14ac:dyDescent="0.35">
      <c r="A151" s="35"/>
      <c r="B151" s="35"/>
      <c r="C151" s="44" t="str">
        <f>IF(A151="","",IFERROR(INDEX('Risk Register'!$B$6:$B$105,MATCH(A151,'Risk Register'!$A$6:$A$105,0)),"Unknown Risk ID"))</f>
        <v/>
      </c>
      <c r="D151" s="38" t="str">
        <f>IF(A151="","",IFERROR(INDEX('Risk Register'!$D$6:$D$105,MATCH(A151,'Risk Register'!$A$6:$A$105,0)),""))</f>
        <v/>
      </c>
      <c r="E151" s="37" t="str">
        <f>IF(A151="","",IFERROR(INDEX('Risk Register'!$O$6:$O$105,MATCH(A151,'Risk Register'!$A$6:$A$105,0)),0))</f>
        <v/>
      </c>
      <c r="F151" s="37" t="str">
        <f>IF(A151="","",IFERROR(IF(INDEX('Risk Register'!$U$6:$U$105,MATCH(A151,'Risk Register'!$A$6:$A$105,0))="Within appetite","No","Yes"),""))</f>
        <v/>
      </c>
      <c r="G151" s="64" t="str">
        <f>IF(A151="","",SUMIF('Scenario Analysis'!$C$8:$C$57,A151,'Scenario Analysis'!$K$8:$K$57))</f>
        <v/>
      </c>
      <c r="H151" s="37" t="str">
        <f t="shared" si="4"/>
        <v/>
      </c>
    </row>
    <row r="152" spans="1:8" x14ac:dyDescent="0.35">
      <c r="A152" s="35"/>
      <c r="B152" s="35"/>
      <c r="C152" s="44" t="str">
        <f>IF(A152="","",IFERROR(INDEX('Risk Register'!$B$6:$B$105,MATCH(A152,'Risk Register'!$A$6:$A$105,0)),"Unknown Risk ID"))</f>
        <v/>
      </c>
      <c r="D152" s="38" t="str">
        <f>IF(A152="","",IFERROR(INDEX('Risk Register'!$D$6:$D$105,MATCH(A152,'Risk Register'!$A$6:$A$105,0)),""))</f>
        <v/>
      </c>
      <c r="E152" s="37" t="str">
        <f>IF(A152="","",IFERROR(INDEX('Risk Register'!$O$6:$O$105,MATCH(A152,'Risk Register'!$A$6:$A$105,0)),0))</f>
        <v/>
      </c>
      <c r="F152" s="37" t="str">
        <f>IF(A152="","",IFERROR(IF(INDEX('Risk Register'!$U$6:$U$105,MATCH(A152,'Risk Register'!$A$6:$A$105,0))="Within appetite","No","Yes"),""))</f>
        <v/>
      </c>
      <c r="G152" s="64" t="str">
        <f>IF(A152="","",SUMIF('Scenario Analysis'!$C$8:$C$57,A152,'Scenario Analysis'!$K$8:$K$57))</f>
        <v/>
      </c>
      <c r="H152" s="37" t="str">
        <f t="shared" si="4"/>
        <v/>
      </c>
    </row>
    <row r="153" spans="1:8" x14ac:dyDescent="0.35">
      <c r="A153" s="35"/>
      <c r="B153" s="35"/>
      <c r="C153" s="44" t="str">
        <f>IF(A153="","",IFERROR(INDEX('Risk Register'!$B$6:$B$105,MATCH(A153,'Risk Register'!$A$6:$A$105,0)),"Unknown Risk ID"))</f>
        <v/>
      </c>
      <c r="D153" s="38" t="str">
        <f>IF(A153="","",IFERROR(INDEX('Risk Register'!$D$6:$D$105,MATCH(A153,'Risk Register'!$A$6:$A$105,0)),""))</f>
        <v/>
      </c>
      <c r="E153" s="37" t="str">
        <f>IF(A153="","",IFERROR(INDEX('Risk Register'!$O$6:$O$105,MATCH(A153,'Risk Register'!$A$6:$A$105,0)),0))</f>
        <v/>
      </c>
      <c r="F153" s="37" t="str">
        <f>IF(A153="","",IFERROR(IF(INDEX('Risk Register'!$U$6:$U$105,MATCH(A153,'Risk Register'!$A$6:$A$105,0))="Within appetite","No","Yes"),""))</f>
        <v/>
      </c>
      <c r="G153" s="64" t="str">
        <f>IF(A153="","",SUMIF('Scenario Analysis'!$C$8:$C$57,A153,'Scenario Analysis'!$K$8:$K$57))</f>
        <v/>
      </c>
      <c r="H153" s="37" t="str">
        <f t="shared" si="4"/>
        <v/>
      </c>
    </row>
    <row r="154" spans="1:8" x14ac:dyDescent="0.35">
      <c r="A154" s="35"/>
      <c r="B154" s="35"/>
      <c r="C154" s="44" t="str">
        <f>IF(A154="","",IFERROR(INDEX('Risk Register'!$B$6:$B$105,MATCH(A154,'Risk Register'!$A$6:$A$105,0)),"Unknown Risk ID"))</f>
        <v/>
      </c>
      <c r="D154" s="38" t="str">
        <f>IF(A154="","",IFERROR(INDEX('Risk Register'!$D$6:$D$105,MATCH(A154,'Risk Register'!$A$6:$A$105,0)),""))</f>
        <v/>
      </c>
      <c r="E154" s="37" t="str">
        <f>IF(A154="","",IFERROR(INDEX('Risk Register'!$O$6:$O$105,MATCH(A154,'Risk Register'!$A$6:$A$105,0)),0))</f>
        <v/>
      </c>
      <c r="F154" s="37" t="str">
        <f>IF(A154="","",IFERROR(IF(INDEX('Risk Register'!$U$6:$U$105,MATCH(A154,'Risk Register'!$A$6:$A$105,0))="Within appetite","No","Yes"),""))</f>
        <v/>
      </c>
      <c r="G154" s="64" t="str">
        <f>IF(A154="","",SUMIF('Scenario Analysis'!$C$8:$C$57,A154,'Scenario Analysis'!$K$8:$K$57))</f>
        <v/>
      </c>
      <c r="H154" s="37" t="str">
        <f t="shared" si="4"/>
        <v/>
      </c>
    </row>
    <row r="155" spans="1:8" x14ac:dyDescent="0.35">
      <c r="A155" s="35"/>
      <c r="B155" s="35"/>
      <c r="C155" s="44" t="str">
        <f>IF(A155="","",IFERROR(INDEX('Risk Register'!$B$6:$B$105,MATCH(A155,'Risk Register'!$A$6:$A$105,0)),"Unknown Risk ID"))</f>
        <v/>
      </c>
      <c r="D155" s="38" t="str">
        <f>IF(A155="","",IFERROR(INDEX('Risk Register'!$D$6:$D$105,MATCH(A155,'Risk Register'!$A$6:$A$105,0)),""))</f>
        <v/>
      </c>
      <c r="E155" s="37" t="str">
        <f>IF(A155="","",IFERROR(INDEX('Risk Register'!$O$6:$O$105,MATCH(A155,'Risk Register'!$A$6:$A$105,0)),0))</f>
        <v/>
      </c>
      <c r="F155" s="37" t="str">
        <f>IF(A155="","",IFERROR(IF(INDEX('Risk Register'!$U$6:$U$105,MATCH(A155,'Risk Register'!$A$6:$A$105,0))="Within appetite","No","Yes"),""))</f>
        <v/>
      </c>
      <c r="G155" s="64" t="str">
        <f>IF(A155="","",SUMIF('Scenario Analysis'!$C$8:$C$57,A155,'Scenario Analysis'!$K$8:$K$57))</f>
        <v/>
      </c>
      <c r="H155" s="37" t="str">
        <f t="shared" si="4"/>
        <v/>
      </c>
    </row>
    <row r="156" spans="1:8" x14ac:dyDescent="0.35">
      <c r="A156" s="35"/>
      <c r="B156" s="35"/>
      <c r="C156" s="44" t="str">
        <f>IF(A156="","",IFERROR(INDEX('Risk Register'!$B$6:$B$105,MATCH(A156,'Risk Register'!$A$6:$A$105,0)),"Unknown Risk ID"))</f>
        <v/>
      </c>
      <c r="D156" s="38" t="str">
        <f>IF(A156="","",IFERROR(INDEX('Risk Register'!$D$6:$D$105,MATCH(A156,'Risk Register'!$A$6:$A$105,0)),""))</f>
        <v/>
      </c>
      <c r="E156" s="37" t="str">
        <f>IF(A156="","",IFERROR(INDEX('Risk Register'!$O$6:$O$105,MATCH(A156,'Risk Register'!$A$6:$A$105,0)),0))</f>
        <v/>
      </c>
      <c r="F156" s="37" t="str">
        <f>IF(A156="","",IFERROR(IF(INDEX('Risk Register'!$U$6:$U$105,MATCH(A156,'Risk Register'!$A$6:$A$105,0))="Within appetite","No","Yes"),""))</f>
        <v/>
      </c>
      <c r="G156" s="64" t="str">
        <f>IF(A156="","",SUMIF('Scenario Analysis'!$C$8:$C$57,A156,'Scenario Analysis'!$K$8:$K$57))</f>
        <v/>
      </c>
      <c r="H156" s="37" t="str">
        <f t="shared" si="4"/>
        <v/>
      </c>
    </row>
    <row r="157" spans="1:8" x14ac:dyDescent="0.35">
      <c r="A157" s="35"/>
      <c r="B157" s="35"/>
      <c r="C157" s="44" t="str">
        <f>IF(A157="","",IFERROR(INDEX('Risk Register'!$B$6:$B$105,MATCH(A157,'Risk Register'!$A$6:$A$105,0)),"Unknown Risk ID"))</f>
        <v/>
      </c>
      <c r="D157" s="38" t="str">
        <f>IF(A157="","",IFERROR(INDEX('Risk Register'!$D$6:$D$105,MATCH(A157,'Risk Register'!$A$6:$A$105,0)),""))</f>
        <v/>
      </c>
      <c r="E157" s="37" t="str">
        <f>IF(A157="","",IFERROR(INDEX('Risk Register'!$O$6:$O$105,MATCH(A157,'Risk Register'!$A$6:$A$105,0)),0))</f>
        <v/>
      </c>
      <c r="F157" s="37" t="str">
        <f>IF(A157="","",IFERROR(IF(INDEX('Risk Register'!$U$6:$U$105,MATCH(A157,'Risk Register'!$A$6:$A$105,0))="Within appetite","No","Yes"),""))</f>
        <v/>
      </c>
      <c r="G157" s="64" t="str">
        <f>IF(A157="","",SUMIF('Scenario Analysis'!$C$8:$C$57,A157,'Scenario Analysis'!$K$8:$K$57))</f>
        <v/>
      </c>
      <c r="H157" s="37" t="str">
        <f t="shared" si="4"/>
        <v/>
      </c>
    </row>
    <row r="158" spans="1:8" x14ac:dyDescent="0.35">
      <c r="A158" s="35"/>
      <c r="B158" s="35"/>
      <c r="C158" s="44" t="str">
        <f>IF(A158="","",IFERROR(INDEX('Risk Register'!$B$6:$B$105,MATCH(A158,'Risk Register'!$A$6:$A$105,0)),"Unknown Risk ID"))</f>
        <v/>
      </c>
      <c r="D158" s="38" t="str">
        <f>IF(A158="","",IFERROR(INDEX('Risk Register'!$D$6:$D$105,MATCH(A158,'Risk Register'!$A$6:$A$105,0)),""))</f>
        <v/>
      </c>
      <c r="E158" s="37" t="str">
        <f>IF(A158="","",IFERROR(INDEX('Risk Register'!$O$6:$O$105,MATCH(A158,'Risk Register'!$A$6:$A$105,0)),0))</f>
        <v/>
      </c>
      <c r="F158" s="37" t="str">
        <f>IF(A158="","",IFERROR(IF(INDEX('Risk Register'!$U$6:$U$105,MATCH(A158,'Risk Register'!$A$6:$A$105,0))="Within appetite","No","Yes"),""))</f>
        <v/>
      </c>
      <c r="G158" s="64" t="str">
        <f>IF(A158="","",SUMIF('Scenario Analysis'!$C$8:$C$57,A158,'Scenario Analysis'!$K$8:$K$57))</f>
        <v/>
      </c>
      <c r="H158" s="37" t="str">
        <f t="shared" si="4"/>
        <v/>
      </c>
    </row>
    <row r="159" spans="1:8" x14ac:dyDescent="0.35">
      <c r="A159" s="35"/>
      <c r="B159" s="35"/>
      <c r="C159" s="44" t="str">
        <f>IF(A159="","",IFERROR(INDEX('Risk Register'!$B$6:$B$105,MATCH(A159,'Risk Register'!$A$6:$A$105,0)),"Unknown Risk ID"))</f>
        <v/>
      </c>
      <c r="D159" s="38" t="str">
        <f>IF(A159="","",IFERROR(INDEX('Risk Register'!$D$6:$D$105,MATCH(A159,'Risk Register'!$A$6:$A$105,0)),""))</f>
        <v/>
      </c>
      <c r="E159" s="37" t="str">
        <f>IF(A159="","",IFERROR(INDEX('Risk Register'!$O$6:$O$105,MATCH(A159,'Risk Register'!$A$6:$A$105,0)),0))</f>
        <v/>
      </c>
      <c r="F159" s="37" t="str">
        <f>IF(A159="","",IFERROR(IF(INDEX('Risk Register'!$U$6:$U$105,MATCH(A159,'Risk Register'!$A$6:$A$105,0))="Within appetite","No","Yes"),""))</f>
        <v/>
      </c>
      <c r="G159" s="64" t="str">
        <f>IF(A159="","",SUMIF('Scenario Analysis'!$C$8:$C$57,A159,'Scenario Analysis'!$K$8:$K$57))</f>
        <v/>
      </c>
      <c r="H159" s="37" t="str">
        <f t="shared" si="4"/>
        <v/>
      </c>
    </row>
    <row r="160" spans="1:8" x14ac:dyDescent="0.35">
      <c r="A160" s="35"/>
      <c r="B160" s="35"/>
      <c r="C160" s="44" t="str">
        <f>IF(A160="","",IFERROR(INDEX('Risk Register'!$B$6:$B$105,MATCH(A160,'Risk Register'!$A$6:$A$105,0)),"Unknown Risk ID"))</f>
        <v/>
      </c>
      <c r="D160" s="38" t="str">
        <f>IF(A160="","",IFERROR(INDEX('Risk Register'!$D$6:$D$105,MATCH(A160,'Risk Register'!$A$6:$A$105,0)),""))</f>
        <v/>
      </c>
      <c r="E160" s="37" t="str">
        <f>IF(A160="","",IFERROR(INDEX('Risk Register'!$O$6:$O$105,MATCH(A160,'Risk Register'!$A$6:$A$105,0)),0))</f>
        <v/>
      </c>
      <c r="F160" s="37" t="str">
        <f>IF(A160="","",IFERROR(IF(INDEX('Risk Register'!$U$6:$U$105,MATCH(A160,'Risk Register'!$A$6:$A$105,0))="Within appetite","No","Yes"),""))</f>
        <v/>
      </c>
      <c r="G160" s="64" t="str">
        <f>IF(A160="","",SUMIF('Scenario Analysis'!$C$8:$C$57,A160,'Scenario Analysis'!$K$8:$K$57))</f>
        <v/>
      </c>
      <c r="H160" s="37" t="str">
        <f t="shared" si="4"/>
        <v/>
      </c>
    </row>
    <row r="161" spans="1:8" x14ac:dyDescent="0.35">
      <c r="A161" s="35"/>
      <c r="B161" s="35"/>
      <c r="C161" s="44" t="str">
        <f>IF(A161="","",IFERROR(INDEX('Risk Register'!$B$6:$B$105,MATCH(A161,'Risk Register'!$A$6:$A$105,0)),"Unknown Risk ID"))</f>
        <v/>
      </c>
      <c r="D161" s="38" t="str">
        <f>IF(A161="","",IFERROR(INDEX('Risk Register'!$D$6:$D$105,MATCH(A161,'Risk Register'!$A$6:$A$105,0)),""))</f>
        <v/>
      </c>
      <c r="E161" s="37" t="str">
        <f>IF(A161="","",IFERROR(INDEX('Risk Register'!$O$6:$O$105,MATCH(A161,'Risk Register'!$A$6:$A$105,0)),0))</f>
        <v/>
      </c>
      <c r="F161" s="37" t="str">
        <f>IF(A161="","",IFERROR(IF(INDEX('Risk Register'!$U$6:$U$105,MATCH(A161,'Risk Register'!$A$6:$A$105,0))="Within appetite","No","Yes"),""))</f>
        <v/>
      </c>
      <c r="G161" s="64" t="str">
        <f>IF(A161="","",SUMIF('Scenario Analysis'!$C$8:$C$57,A161,'Scenario Analysis'!$K$8:$K$57))</f>
        <v/>
      </c>
      <c r="H161" s="37" t="str">
        <f t="shared" si="4"/>
        <v/>
      </c>
    </row>
    <row r="162" spans="1:8" x14ac:dyDescent="0.35">
      <c r="A162" s="35"/>
      <c r="B162" s="35"/>
      <c r="C162" s="44" t="str">
        <f>IF(A162="","",IFERROR(INDEX('Risk Register'!$B$6:$B$105,MATCH(A162,'Risk Register'!$A$6:$A$105,0)),"Unknown Risk ID"))</f>
        <v/>
      </c>
      <c r="D162" s="38" t="str">
        <f>IF(A162="","",IFERROR(INDEX('Risk Register'!$D$6:$D$105,MATCH(A162,'Risk Register'!$A$6:$A$105,0)),""))</f>
        <v/>
      </c>
      <c r="E162" s="37" t="str">
        <f>IF(A162="","",IFERROR(INDEX('Risk Register'!$O$6:$O$105,MATCH(A162,'Risk Register'!$A$6:$A$105,0)),0))</f>
        <v/>
      </c>
      <c r="F162" s="37" t="str">
        <f>IF(A162="","",IFERROR(IF(INDEX('Risk Register'!$U$6:$U$105,MATCH(A162,'Risk Register'!$A$6:$A$105,0))="Within appetite","No","Yes"),""))</f>
        <v/>
      </c>
      <c r="G162" s="64" t="str">
        <f>IF(A162="","",SUMIF('Scenario Analysis'!$C$8:$C$57,A162,'Scenario Analysis'!$K$8:$K$57))</f>
        <v/>
      </c>
      <c r="H162" s="37" t="str">
        <f t="shared" si="4"/>
        <v/>
      </c>
    </row>
    <row r="163" spans="1:8" x14ac:dyDescent="0.35">
      <c r="A163" s="35"/>
      <c r="B163" s="35"/>
      <c r="C163" s="44" t="str">
        <f>IF(A163="","",IFERROR(INDEX('Risk Register'!$B$6:$B$105,MATCH(A163,'Risk Register'!$A$6:$A$105,0)),"Unknown Risk ID"))</f>
        <v/>
      </c>
      <c r="D163" s="38" t="str">
        <f>IF(A163="","",IFERROR(INDEX('Risk Register'!$D$6:$D$105,MATCH(A163,'Risk Register'!$A$6:$A$105,0)),""))</f>
        <v/>
      </c>
      <c r="E163" s="37" t="str">
        <f>IF(A163="","",IFERROR(INDEX('Risk Register'!$O$6:$O$105,MATCH(A163,'Risk Register'!$A$6:$A$105,0)),0))</f>
        <v/>
      </c>
      <c r="F163" s="37" t="str">
        <f>IF(A163="","",IFERROR(IF(INDEX('Risk Register'!$U$6:$U$105,MATCH(A163,'Risk Register'!$A$6:$A$105,0))="Within appetite","No","Yes"),""))</f>
        <v/>
      </c>
      <c r="G163" s="64" t="str">
        <f>IF(A163="","",SUMIF('Scenario Analysis'!$C$8:$C$57,A163,'Scenario Analysis'!$K$8:$K$57))</f>
        <v/>
      </c>
      <c r="H163" s="37" t="str">
        <f t="shared" si="4"/>
        <v/>
      </c>
    </row>
    <row r="164" spans="1:8" x14ac:dyDescent="0.35">
      <c r="A164" s="35"/>
      <c r="B164" s="35"/>
      <c r="C164" s="44" t="str">
        <f>IF(A164="","",IFERROR(INDEX('Risk Register'!$B$6:$B$105,MATCH(A164,'Risk Register'!$A$6:$A$105,0)),"Unknown Risk ID"))</f>
        <v/>
      </c>
      <c r="D164" s="38" t="str">
        <f>IF(A164="","",IFERROR(INDEX('Risk Register'!$D$6:$D$105,MATCH(A164,'Risk Register'!$A$6:$A$105,0)),""))</f>
        <v/>
      </c>
      <c r="E164" s="37" t="str">
        <f>IF(A164="","",IFERROR(INDEX('Risk Register'!$O$6:$O$105,MATCH(A164,'Risk Register'!$A$6:$A$105,0)),0))</f>
        <v/>
      </c>
      <c r="F164" s="37" t="str">
        <f>IF(A164="","",IFERROR(IF(INDEX('Risk Register'!$U$6:$U$105,MATCH(A164,'Risk Register'!$A$6:$A$105,0))="Within appetite","No","Yes"),""))</f>
        <v/>
      </c>
      <c r="G164" s="64" t="str">
        <f>IF(A164="","",SUMIF('Scenario Analysis'!$C$8:$C$57,A164,'Scenario Analysis'!$K$8:$K$57))</f>
        <v/>
      </c>
      <c r="H164" s="37" t="str">
        <f t="shared" si="4"/>
        <v/>
      </c>
    </row>
    <row r="165" spans="1:8" x14ac:dyDescent="0.35">
      <c r="A165" s="35"/>
      <c r="B165" s="35"/>
      <c r="C165" s="44" t="str">
        <f>IF(A165="","",IFERROR(INDEX('Risk Register'!$B$6:$B$105,MATCH(A165,'Risk Register'!$A$6:$A$105,0)),"Unknown Risk ID"))</f>
        <v/>
      </c>
      <c r="D165" s="38" t="str">
        <f>IF(A165="","",IFERROR(INDEX('Risk Register'!$D$6:$D$105,MATCH(A165,'Risk Register'!$A$6:$A$105,0)),""))</f>
        <v/>
      </c>
      <c r="E165" s="37" t="str">
        <f>IF(A165="","",IFERROR(INDEX('Risk Register'!$O$6:$O$105,MATCH(A165,'Risk Register'!$A$6:$A$105,0)),0))</f>
        <v/>
      </c>
      <c r="F165" s="37" t="str">
        <f>IF(A165="","",IFERROR(IF(INDEX('Risk Register'!$U$6:$U$105,MATCH(A165,'Risk Register'!$A$6:$A$105,0))="Within appetite","No","Yes"),""))</f>
        <v/>
      </c>
      <c r="G165" s="64" t="str">
        <f>IF(A165="","",SUMIF('Scenario Analysis'!$C$8:$C$57,A165,'Scenario Analysis'!$K$8:$K$57))</f>
        <v/>
      </c>
      <c r="H165" s="37" t="str">
        <f t="shared" si="4"/>
        <v/>
      </c>
    </row>
    <row r="166" spans="1:8" x14ac:dyDescent="0.35">
      <c r="A166" s="35"/>
      <c r="B166" s="35"/>
      <c r="C166" s="44" t="str">
        <f>IF(A166="","",IFERROR(INDEX('Risk Register'!$B$6:$B$105,MATCH(A166,'Risk Register'!$A$6:$A$105,0)),"Unknown Risk ID"))</f>
        <v/>
      </c>
      <c r="D166" s="38" t="str">
        <f>IF(A166="","",IFERROR(INDEX('Risk Register'!$D$6:$D$105,MATCH(A166,'Risk Register'!$A$6:$A$105,0)),""))</f>
        <v/>
      </c>
      <c r="E166" s="37" t="str">
        <f>IF(A166="","",IFERROR(INDEX('Risk Register'!$O$6:$O$105,MATCH(A166,'Risk Register'!$A$6:$A$105,0)),0))</f>
        <v/>
      </c>
      <c r="F166" s="37" t="str">
        <f>IF(A166="","",IFERROR(IF(INDEX('Risk Register'!$U$6:$U$105,MATCH(A166,'Risk Register'!$A$6:$A$105,0))="Within appetite","No","Yes"),""))</f>
        <v/>
      </c>
      <c r="G166" s="64" t="str">
        <f>IF(A166="","",SUMIF('Scenario Analysis'!$C$8:$C$57,A166,'Scenario Analysis'!$K$8:$K$57))</f>
        <v/>
      </c>
      <c r="H166" s="37" t="str">
        <f t="shared" ref="H166:H197" si="5">IF(OR(A166="",B166=""),"",IF(COUNTIFS($A$6:$A$205,A166,$B$6:$B$205,B166)&gt;1,"Duplicate",""))</f>
        <v/>
      </c>
    </row>
    <row r="167" spans="1:8" x14ac:dyDescent="0.35">
      <c r="A167" s="35"/>
      <c r="B167" s="35"/>
      <c r="C167" s="44" t="str">
        <f>IF(A167="","",IFERROR(INDEX('Risk Register'!$B$6:$B$105,MATCH(A167,'Risk Register'!$A$6:$A$105,0)),"Unknown Risk ID"))</f>
        <v/>
      </c>
      <c r="D167" s="38" t="str">
        <f>IF(A167="","",IFERROR(INDEX('Risk Register'!$D$6:$D$105,MATCH(A167,'Risk Register'!$A$6:$A$105,0)),""))</f>
        <v/>
      </c>
      <c r="E167" s="37" t="str">
        <f>IF(A167="","",IFERROR(INDEX('Risk Register'!$O$6:$O$105,MATCH(A167,'Risk Register'!$A$6:$A$105,0)),0))</f>
        <v/>
      </c>
      <c r="F167" s="37" t="str">
        <f>IF(A167="","",IFERROR(IF(INDEX('Risk Register'!$U$6:$U$105,MATCH(A167,'Risk Register'!$A$6:$A$105,0))="Within appetite","No","Yes"),""))</f>
        <v/>
      </c>
      <c r="G167" s="64" t="str">
        <f>IF(A167="","",SUMIF('Scenario Analysis'!$C$8:$C$57,A167,'Scenario Analysis'!$K$8:$K$57))</f>
        <v/>
      </c>
      <c r="H167" s="37" t="str">
        <f t="shared" si="5"/>
        <v/>
      </c>
    </row>
    <row r="168" spans="1:8" x14ac:dyDescent="0.35">
      <c r="A168" s="35"/>
      <c r="B168" s="35"/>
      <c r="C168" s="44" t="str">
        <f>IF(A168="","",IFERROR(INDEX('Risk Register'!$B$6:$B$105,MATCH(A168,'Risk Register'!$A$6:$A$105,0)),"Unknown Risk ID"))</f>
        <v/>
      </c>
      <c r="D168" s="38" t="str">
        <f>IF(A168="","",IFERROR(INDEX('Risk Register'!$D$6:$D$105,MATCH(A168,'Risk Register'!$A$6:$A$105,0)),""))</f>
        <v/>
      </c>
      <c r="E168" s="37" t="str">
        <f>IF(A168="","",IFERROR(INDEX('Risk Register'!$O$6:$O$105,MATCH(A168,'Risk Register'!$A$6:$A$105,0)),0))</f>
        <v/>
      </c>
      <c r="F168" s="37" t="str">
        <f>IF(A168="","",IFERROR(IF(INDEX('Risk Register'!$U$6:$U$105,MATCH(A168,'Risk Register'!$A$6:$A$105,0))="Within appetite","No","Yes"),""))</f>
        <v/>
      </c>
      <c r="G168" s="64" t="str">
        <f>IF(A168="","",SUMIF('Scenario Analysis'!$C$8:$C$57,A168,'Scenario Analysis'!$K$8:$K$57))</f>
        <v/>
      </c>
      <c r="H168" s="37" t="str">
        <f t="shared" si="5"/>
        <v/>
      </c>
    </row>
    <row r="169" spans="1:8" x14ac:dyDescent="0.35">
      <c r="A169" s="35"/>
      <c r="B169" s="35"/>
      <c r="C169" s="44" t="str">
        <f>IF(A169="","",IFERROR(INDEX('Risk Register'!$B$6:$B$105,MATCH(A169,'Risk Register'!$A$6:$A$105,0)),"Unknown Risk ID"))</f>
        <v/>
      </c>
      <c r="D169" s="38" t="str">
        <f>IF(A169="","",IFERROR(INDEX('Risk Register'!$D$6:$D$105,MATCH(A169,'Risk Register'!$A$6:$A$105,0)),""))</f>
        <v/>
      </c>
      <c r="E169" s="37" t="str">
        <f>IF(A169="","",IFERROR(INDEX('Risk Register'!$O$6:$O$105,MATCH(A169,'Risk Register'!$A$6:$A$105,0)),0))</f>
        <v/>
      </c>
      <c r="F169" s="37" t="str">
        <f>IF(A169="","",IFERROR(IF(INDEX('Risk Register'!$U$6:$U$105,MATCH(A169,'Risk Register'!$A$6:$A$105,0))="Within appetite","No","Yes"),""))</f>
        <v/>
      </c>
      <c r="G169" s="64" t="str">
        <f>IF(A169="","",SUMIF('Scenario Analysis'!$C$8:$C$57,A169,'Scenario Analysis'!$K$8:$K$57))</f>
        <v/>
      </c>
      <c r="H169" s="37" t="str">
        <f t="shared" si="5"/>
        <v/>
      </c>
    </row>
    <row r="170" spans="1:8" x14ac:dyDescent="0.35">
      <c r="A170" s="35"/>
      <c r="B170" s="35"/>
      <c r="C170" s="44" t="str">
        <f>IF(A170="","",IFERROR(INDEX('Risk Register'!$B$6:$B$105,MATCH(A170,'Risk Register'!$A$6:$A$105,0)),"Unknown Risk ID"))</f>
        <v/>
      </c>
      <c r="D170" s="38" t="str">
        <f>IF(A170="","",IFERROR(INDEX('Risk Register'!$D$6:$D$105,MATCH(A170,'Risk Register'!$A$6:$A$105,0)),""))</f>
        <v/>
      </c>
      <c r="E170" s="37" t="str">
        <f>IF(A170="","",IFERROR(INDEX('Risk Register'!$O$6:$O$105,MATCH(A170,'Risk Register'!$A$6:$A$105,0)),0))</f>
        <v/>
      </c>
      <c r="F170" s="37" t="str">
        <f>IF(A170="","",IFERROR(IF(INDEX('Risk Register'!$U$6:$U$105,MATCH(A170,'Risk Register'!$A$6:$A$105,0))="Within appetite","No","Yes"),""))</f>
        <v/>
      </c>
      <c r="G170" s="64" t="str">
        <f>IF(A170="","",SUMIF('Scenario Analysis'!$C$8:$C$57,A170,'Scenario Analysis'!$K$8:$K$57))</f>
        <v/>
      </c>
      <c r="H170" s="37" t="str">
        <f t="shared" si="5"/>
        <v/>
      </c>
    </row>
    <row r="171" spans="1:8" x14ac:dyDescent="0.35">
      <c r="A171" s="35"/>
      <c r="B171" s="35"/>
      <c r="C171" s="44" t="str">
        <f>IF(A171="","",IFERROR(INDEX('Risk Register'!$B$6:$B$105,MATCH(A171,'Risk Register'!$A$6:$A$105,0)),"Unknown Risk ID"))</f>
        <v/>
      </c>
      <c r="D171" s="38" t="str">
        <f>IF(A171="","",IFERROR(INDEX('Risk Register'!$D$6:$D$105,MATCH(A171,'Risk Register'!$A$6:$A$105,0)),""))</f>
        <v/>
      </c>
      <c r="E171" s="37" t="str">
        <f>IF(A171="","",IFERROR(INDEX('Risk Register'!$O$6:$O$105,MATCH(A171,'Risk Register'!$A$6:$A$105,0)),0))</f>
        <v/>
      </c>
      <c r="F171" s="37" t="str">
        <f>IF(A171="","",IFERROR(IF(INDEX('Risk Register'!$U$6:$U$105,MATCH(A171,'Risk Register'!$A$6:$A$105,0))="Within appetite","No","Yes"),""))</f>
        <v/>
      </c>
      <c r="G171" s="64" t="str">
        <f>IF(A171="","",SUMIF('Scenario Analysis'!$C$8:$C$57,A171,'Scenario Analysis'!$K$8:$K$57))</f>
        <v/>
      </c>
      <c r="H171" s="37" t="str">
        <f t="shared" si="5"/>
        <v/>
      </c>
    </row>
    <row r="172" spans="1:8" x14ac:dyDescent="0.35">
      <c r="A172" s="35"/>
      <c r="B172" s="35"/>
      <c r="C172" s="44" t="str">
        <f>IF(A172="","",IFERROR(INDEX('Risk Register'!$B$6:$B$105,MATCH(A172,'Risk Register'!$A$6:$A$105,0)),"Unknown Risk ID"))</f>
        <v/>
      </c>
      <c r="D172" s="38" t="str">
        <f>IF(A172="","",IFERROR(INDEX('Risk Register'!$D$6:$D$105,MATCH(A172,'Risk Register'!$A$6:$A$105,0)),""))</f>
        <v/>
      </c>
      <c r="E172" s="37" t="str">
        <f>IF(A172="","",IFERROR(INDEX('Risk Register'!$O$6:$O$105,MATCH(A172,'Risk Register'!$A$6:$A$105,0)),0))</f>
        <v/>
      </c>
      <c r="F172" s="37" t="str">
        <f>IF(A172="","",IFERROR(IF(INDEX('Risk Register'!$U$6:$U$105,MATCH(A172,'Risk Register'!$A$6:$A$105,0))="Within appetite","No","Yes"),""))</f>
        <v/>
      </c>
      <c r="G172" s="64" t="str">
        <f>IF(A172="","",SUMIF('Scenario Analysis'!$C$8:$C$57,A172,'Scenario Analysis'!$K$8:$K$57))</f>
        <v/>
      </c>
      <c r="H172" s="37" t="str">
        <f t="shared" si="5"/>
        <v/>
      </c>
    </row>
    <row r="173" spans="1:8" x14ac:dyDescent="0.35">
      <c r="A173" s="35"/>
      <c r="B173" s="35"/>
      <c r="C173" s="44" t="str">
        <f>IF(A173="","",IFERROR(INDEX('Risk Register'!$B$6:$B$105,MATCH(A173,'Risk Register'!$A$6:$A$105,0)),"Unknown Risk ID"))</f>
        <v/>
      </c>
      <c r="D173" s="38" t="str">
        <f>IF(A173="","",IFERROR(INDEX('Risk Register'!$D$6:$D$105,MATCH(A173,'Risk Register'!$A$6:$A$105,0)),""))</f>
        <v/>
      </c>
      <c r="E173" s="37" t="str">
        <f>IF(A173="","",IFERROR(INDEX('Risk Register'!$O$6:$O$105,MATCH(A173,'Risk Register'!$A$6:$A$105,0)),0))</f>
        <v/>
      </c>
      <c r="F173" s="37" t="str">
        <f>IF(A173="","",IFERROR(IF(INDEX('Risk Register'!$U$6:$U$105,MATCH(A173,'Risk Register'!$A$6:$A$105,0))="Within appetite","No","Yes"),""))</f>
        <v/>
      </c>
      <c r="G173" s="64" t="str">
        <f>IF(A173="","",SUMIF('Scenario Analysis'!$C$8:$C$57,A173,'Scenario Analysis'!$K$8:$K$57))</f>
        <v/>
      </c>
      <c r="H173" s="37" t="str">
        <f t="shared" si="5"/>
        <v/>
      </c>
    </row>
    <row r="174" spans="1:8" x14ac:dyDescent="0.35">
      <c r="A174" s="35"/>
      <c r="B174" s="35"/>
      <c r="C174" s="44" t="str">
        <f>IF(A174="","",IFERROR(INDEX('Risk Register'!$B$6:$B$105,MATCH(A174,'Risk Register'!$A$6:$A$105,0)),"Unknown Risk ID"))</f>
        <v/>
      </c>
      <c r="D174" s="38" t="str">
        <f>IF(A174="","",IFERROR(INDEX('Risk Register'!$D$6:$D$105,MATCH(A174,'Risk Register'!$A$6:$A$105,0)),""))</f>
        <v/>
      </c>
      <c r="E174" s="37" t="str">
        <f>IF(A174="","",IFERROR(INDEX('Risk Register'!$O$6:$O$105,MATCH(A174,'Risk Register'!$A$6:$A$105,0)),0))</f>
        <v/>
      </c>
      <c r="F174" s="37" t="str">
        <f>IF(A174="","",IFERROR(IF(INDEX('Risk Register'!$U$6:$U$105,MATCH(A174,'Risk Register'!$A$6:$A$105,0))="Within appetite","No","Yes"),""))</f>
        <v/>
      </c>
      <c r="G174" s="64" t="str">
        <f>IF(A174="","",SUMIF('Scenario Analysis'!$C$8:$C$57,A174,'Scenario Analysis'!$K$8:$K$57))</f>
        <v/>
      </c>
      <c r="H174" s="37" t="str">
        <f t="shared" si="5"/>
        <v/>
      </c>
    </row>
    <row r="175" spans="1:8" x14ac:dyDescent="0.35">
      <c r="A175" s="35"/>
      <c r="B175" s="35"/>
      <c r="C175" s="44" t="str">
        <f>IF(A175="","",IFERROR(INDEX('Risk Register'!$B$6:$B$105,MATCH(A175,'Risk Register'!$A$6:$A$105,0)),"Unknown Risk ID"))</f>
        <v/>
      </c>
      <c r="D175" s="38" t="str">
        <f>IF(A175="","",IFERROR(INDEX('Risk Register'!$D$6:$D$105,MATCH(A175,'Risk Register'!$A$6:$A$105,0)),""))</f>
        <v/>
      </c>
      <c r="E175" s="37" t="str">
        <f>IF(A175="","",IFERROR(INDEX('Risk Register'!$O$6:$O$105,MATCH(A175,'Risk Register'!$A$6:$A$105,0)),0))</f>
        <v/>
      </c>
      <c r="F175" s="37" t="str">
        <f>IF(A175="","",IFERROR(IF(INDEX('Risk Register'!$U$6:$U$105,MATCH(A175,'Risk Register'!$A$6:$A$105,0))="Within appetite","No","Yes"),""))</f>
        <v/>
      </c>
      <c r="G175" s="64" t="str">
        <f>IF(A175="","",SUMIF('Scenario Analysis'!$C$8:$C$57,A175,'Scenario Analysis'!$K$8:$K$57))</f>
        <v/>
      </c>
      <c r="H175" s="37" t="str">
        <f t="shared" si="5"/>
        <v/>
      </c>
    </row>
    <row r="176" spans="1:8" x14ac:dyDescent="0.35">
      <c r="A176" s="35"/>
      <c r="B176" s="35"/>
      <c r="C176" s="44" t="str">
        <f>IF(A176="","",IFERROR(INDEX('Risk Register'!$B$6:$B$105,MATCH(A176,'Risk Register'!$A$6:$A$105,0)),"Unknown Risk ID"))</f>
        <v/>
      </c>
      <c r="D176" s="38" t="str">
        <f>IF(A176="","",IFERROR(INDEX('Risk Register'!$D$6:$D$105,MATCH(A176,'Risk Register'!$A$6:$A$105,0)),""))</f>
        <v/>
      </c>
      <c r="E176" s="37" t="str">
        <f>IF(A176="","",IFERROR(INDEX('Risk Register'!$O$6:$O$105,MATCH(A176,'Risk Register'!$A$6:$A$105,0)),0))</f>
        <v/>
      </c>
      <c r="F176" s="37" t="str">
        <f>IF(A176="","",IFERROR(IF(INDEX('Risk Register'!$U$6:$U$105,MATCH(A176,'Risk Register'!$A$6:$A$105,0))="Within appetite","No","Yes"),""))</f>
        <v/>
      </c>
      <c r="G176" s="64" t="str">
        <f>IF(A176="","",SUMIF('Scenario Analysis'!$C$8:$C$57,A176,'Scenario Analysis'!$K$8:$K$57))</f>
        <v/>
      </c>
      <c r="H176" s="37" t="str">
        <f t="shared" si="5"/>
        <v/>
      </c>
    </row>
    <row r="177" spans="1:8" x14ac:dyDescent="0.35">
      <c r="A177" s="35"/>
      <c r="B177" s="35"/>
      <c r="C177" s="44" t="str">
        <f>IF(A177="","",IFERROR(INDEX('Risk Register'!$B$6:$B$105,MATCH(A177,'Risk Register'!$A$6:$A$105,0)),"Unknown Risk ID"))</f>
        <v/>
      </c>
      <c r="D177" s="38" t="str">
        <f>IF(A177="","",IFERROR(INDEX('Risk Register'!$D$6:$D$105,MATCH(A177,'Risk Register'!$A$6:$A$105,0)),""))</f>
        <v/>
      </c>
      <c r="E177" s="37" t="str">
        <f>IF(A177="","",IFERROR(INDEX('Risk Register'!$O$6:$O$105,MATCH(A177,'Risk Register'!$A$6:$A$105,0)),0))</f>
        <v/>
      </c>
      <c r="F177" s="37" t="str">
        <f>IF(A177="","",IFERROR(IF(INDEX('Risk Register'!$U$6:$U$105,MATCH(A177,'Risk Register'!$A$6:$A$105,0))="Within appetite","No","Yes"),""))</f>
        <v/>
      </c>
      <c r="G177" s="64" t="str">
        <f>IF(A177="","",SUMIF('Scenario Analysis'!$C$8:$C$57,A177,'Scenario Analysis'!$K$8:$K$57))</f>
        <v/>
      </c>
      <c r="H177" s="37" t="str">
        <f t="shared" si="5"/>
        <v/>
      </c>
    </row>
    <row r="178" spans="1:8" x14ac:dyDescent="0.35">
      <c r="A178" s="35"/>
      <c r="B178" s="35"/>
      <c r="C178" s="44" t="str">
        <f>IF(A178="","",IFERROR(INDEX('Risk Register'!$B$6:$B$105,MATCH(A178,'Risk Register'!$A$6:$A$105,0)),"Unknown Risk ID"))</f>
        <v/>
      </c>
      <c r="D178" s="38" t="str">
        <f>IF(A178="","",IFERROR(INDEX('Risk Register'!$D$6:$D$105,MATCH(A178,'Risk Register'!$A$6:$A$105,0)),""))</f>
        <v/>
      </c>
      <c r="E178" s="37" t="str">
        <f>IF(A178="","",IFERROR(INDEX('Risk Register'!$O$6:$O$105,MATCH(A178,'Risk Register'!$A$6:$A$105,0)),0))</f>
        <v/>
      </c>
      <c r="F178" s="37" t="str">
        <f>IF(A178="","",IFERROR(IF(INDEX('Risk Register'!$U$6:$U$105,MATCH(A178,'Risk Register'!$A$6:$A$105,0))="Within appetite","No","Yes"),""))</f>
        <v/>
      </c>
      <c r="G178" s="64" t="str">
        <f>IF(A178="","",SUMIF('Scenario Analysis'!$C$8:$C$57,A178,'Scenario Analysis'!$K$8:$K$57))</f>
        <v/>
      </c>
      <c r="H178" s="37" t="str">
        <f t="shared" si="5"/>
        <v/>
      </c>
    </row>
    <row r="179" spans="1:8" x14ac:dyDescent="0.35">
      <c r="A179" s="35"/>
      <c r="B179" s="35"/>
      <c r="C179" s="44" t="str">
        <f>IF(A179="","",IFERROR(INDEX('Risk Register'!$B$6:$B$105,MATCH(A179,'Risk Register'!$A$6:$A$105,0)),"Unknown Risk ID"))</f>
        <v/>
      </c>
      <c r="D179" s="38" t="str">
        <f>IF(A179="","",IFERROR(INDEX('Risk Register'!$D$6:$D$105,MATCH(A179,'Risk Register'!$A$6:$A$105,0)),""))</f>
        <v/>
      </c>
      <c r="E179" s="37" t="str">
        <f>IF(A179="","",IFERROR(INDEX('Risk Register'!$O$6:$O$105,MATCH(A179,'Risk Register'!$A$6:$A$105,0)),0))</f>
        <v/>
      </c>
      <c r="F179" s="37" t="str">
        <f>IF(A179="","",IFERROR(IF(INDEX('Risk Register'!$U$6:$U$105,MATCH(A179,'Risk Register'!$A$6:$A$105,0))="Within appetite","No","Yes"),""))</f>
        <v/>
      </c>
      <c r="G179" s="64" t="str">
        <f>IF(A179="","",SUMIF('Scenario Analysis'!$C$8:$C$57,A179,'Scenario Analysis'!$K$8:$K$57))</f>
        <v/>
      </c>
      <c r="H179" s="37" t="str">
        <f t="shared" si="5"/>
        <v/>
      </c>
    </row>
    <row r="180" spans="1:8" x14ac:dyDescent="0.35">
      <c r="A180" s="35"/>
      <c r="B180" s="35"/>
      <c r="C180" s="44" t="str">
        <f>IF(A180="","",IFERROR(INDEX('Risk Register'!$B$6:$B$105,MATCH(A180,'Risk Register'!$A$6:$A$105,0)),"Unknown Risk ID"))</f>
        <v/>
      </c>
      <c r="D180" s="38" t="str">
        <f>IF(A180="","",IFERROR(INDEX('Risk Register'!$D$6:$D$105,MATCH(A180,'Risk Register'!$A$6:$A$105,0)),""))</f>
        <v/>
      </c>
      <c r="E180" s="37" t="str">
        <f>IF(A180="","",IFERROR(INDEX('Risk Register'!$O$6:$O$105,MATCH(A180,'Risk Register'!$A$6:$A$105,0)),0))</f>
        <v/>
      </c>
      <c r="F180" s="37" t="str">
        <f>IF(A180="","",IFERROR(IF(INDEX('Risk Register'!$U$6:$U$105,MATCH(A180,'Risk Register'!$A$6:$A$105,0))="Within appetite","No","Yes"),""))</f>
        <v/>
      </c>
      <c r="G180" s="64" t="str">
        <f>IF(A180="","",SUMIF('Scenario Analysis'!$C$8:$C$57,A180,'Scenario Analysis'!$K$8:$K$57))</f>
        <v/>
      </c>
      <c r="H180" s="37" t="str">
        <f t="shared" si="5"/>
        <v/>
      </c>
    </row>
    <row r="181" spans="1:8" x14ac:dyDescent="0.35">
      <c r="A181" s="35"/>
      <c r="B181" s="35"/>
      <c r="C181" s="44" t="str">
        <f>IF(A181="","",IFERROR(INDEX('Risk Register'!$B$6:$B$105,MATCH(A181,'Risk Register'!$A$6:$A$105,0)),"Unknown Risk ID"))</f>
        <v/>
      </c>
      <c r="D181" s="38" t="str">
        <f>IF(A181="","",IFERROR(INDEX('Risk Register'!$D$6:$D$105,MATCH(A181,'Risk Register'!$A$6:$A$105,0)),""))</f>
        <v/>
      </c>
      <c r="E181" s="37" t="str">
        <f>IF(A181="","",IFERROR(INDEX('Risk Register'!$O$6:$O$105,MATCH(A181,'Risk Register'!$A$6:$A$105,0)),0))</f>
        <v/>
      </c>
      <c r="F181" s="37" t="str">
        <f>IF(A181="","",IFERROR(IF(INDEX('Risk Register'!$U$6:$U$105,MATCH(A181,'Risk Register'!$A$6:$A$105,0))="Within appetite","No","Yes"),""))</f>
        <v/>
      </c>
      <c r="G181" s="64" t="str">
        <f>IF(A181="","",SUMIF('Scenario Analysis'!$C$8:$C$57,A181,'Scenario Analysis'!$K$8:$K$57))</f>
        <v/>
      </c>
      <c r="H181" s="37" t="str">
        <f t="shared" si="5"/>
        <v/>
      </c>
    </row>
    <row r="182" spans="1:8" x14ac:dyDescent="0.35">
      <c r="A182" s="35"/>
      <c r="B182" s="35"/>
      <c r="C182" s="44" t="str">
        <f>IF(A182="","",IFERROR(INDEX('Risk Register'!$B$6:$B$105,MATCH(A182,'Risk Register'!$A$6:$A$105,0)),"Unknown Risk ID"))</f>
        <v/>
      </c>
      <c r="D182" s="38" t="str">
        <f>IF(A182="","",IFERROR(INDEX('Risk Register'!$D$6:$D$105,MATCH(A182,'Risk Register'!$A$6:$A$105,0)),""))</f>
        <v/>
      </c>
      <c r="E182" s="37" t="str">
        <f>IF(A182="","",IFERROR(INDEX('Risk Register'!$O$6:$O$105,MATCH(A182,'Risk Register'!$A$6:$A$105,0)),0))</f>
        <v/>
      </c>
      <c r="F182" s="37" t="str">
        <f>IF(A182="","",IFERROR(IF(INDEX('Risk Register'!$U$6:$U$105,MATCH(A182,'Risk Register'!$A$6:$A$105,0))="Within appetite","No","Yes"),""))</f>
        <v/>
      </c>
      <c r="G182" s="64" t="str">
        <f>IF(A182="","",SUMIF('Scenario Analysis'!$C$8:$C$57,A182,'Scenario Analysis'!$K$8:$K$57))</f>
        <v/>
      </c>
      <c r="H182" s="37" t="str">
        <f t="shared" si="5"/>
        <v/>
      </c>
    </row>
    <row r="183" spans="1:8" x14ac:dyDescent="0.35">
      <c r="A183" s="35"/>
      <c r="B183" s="35"/>
      <c r="C183" s="44" t="str">
        <f>IF(A183="","",IFERROR(INDEX('Risk Register'!$B$6:$B$105,MATCH(A183,'Risk Register'!$A$6:$A$105,0)),"Unknown Risk ID"))</f>
        <v/>
      </c>
      <c r="D183" s="38" t="str">
        <f>IF(A183="","",IFERROR(INDEX('Risk Register'!$D$6:$D$105,MATCH(A183,'Risk Register'!$A$6:$A$105,0)),""))</f>
        <v/>
      </c>
      <c r="E183" s="37" t="str">
        <f>IF(A183="","",IFERROR(INDEX('Risk Register'!$O$6:$O$105,MATCH(A183,'Risk Register'!$A$6:$A$105,0)),0))</f>
        <v/>
      </c>
      <c r="F183" s="37" t="str">
        <f>IF(A183="","",IFERROR(IF(INDEX('Risk Register'!$U$6:$U$105,MATCH(A183,'Risk Register'!$A$6:$A$105,0))="Within appetite","No","Yes"),""))</f>
        <v/>
      </c>
      <c r="G183" s="64" t="str">
        <f>IF(A183="","",SUMIF('Scenario Analysis'!$C$8:$C$57,A183,'Scenario Analysis'!$K$8:$K$57))</f>
        <v/>
      </c>
      <c r="H183" s="37" t="str">
        <f t="shared" si="5"/>
        <v/>
      </c>
    </row>
    <row r="184" spans="1:8" x14ac:dyDescent="0.35">
      <c r="A184" s="35"/>
      <c r="B184" s="35"/>
      <c r="C184" s="44" t="str">
        <f>IF(A184="","",IFERROR(INDEX('Risk Register'!$B$6:$B$105,MATCH(A184,'Risk Register'!$A$6:$A$105,0)),"Unknown Risk ID"))</f>
        <v/>
      </c>
      <c r="D184" s="38" t="str">
        <f>IF(A184="","",IFERROR(INDEX('Risk Register'!$D$6:$D$105,MATCH(A184,'Risk Register'!$A$6:$A$105,0)),""))</f>
        <v/>
      </c>
      <c r="E184" s="37" t="str">
        <f>IF(A184="","",IFERROR(INDEX('Risk Register'!$O$6:$O$105,MATCH(A184,'Risk Register'!$A$6:$A$105,0)),0))</f>
        <v/>
      </c>
      <c r="F184" s="37" t="str">
        <f>IF(A184="","",IFERROR(IF(INDEX('Risk Register'!$U$6:$U$105,MATCH(A184,'Risk Register'!$A$6:$A$105,0))="Within appetite","No","Yes"),""))</f>
        <v/>
      </c>
      <c r="G184" s="64" t="str">
        <f>IF(A184="","",SUMIF('Scenario Analysis'!$C$8:$C$57,A184,'Scenario Analysis'!$K$8:$K$57))</f>
        <v/>
      </c>
      <c r="H184" s="37" t="str">
        <f t="shared" si="5"/>
        <v/>
      </c>
    </row>
    <row r="185" spans="1:8" x14ac:dyDescent="0.35">
      <c r="A185" s="35"/>
      <c r="B185" s="35"/>
      <c r="C185" s="44" t="str">
        <f>IF(A185="","",IFERROR(INDEX('Risk Register'!$B$6:$B$105,MATCH(A185,'Risk Register'!$A$6:$A$105,0)),"Unknown Risk ID"))</f>
        <v/>
      </c>
      <c r="D185" s="38" t="str">
        <f>IF(A185="","",IFERROR(INDEX('Risk Register'!$D$6:$D$105,MATCH(A185,'Risk Register'!$A$6:$A$105,0)),""))</f>
        <v/>
      </c>
      <c r="E185" s="37" t="str">
        <f>IF(A185="","",IFERROR(INDEX('Risk Register'!$O$6:$O$105,MATCH(A185,'Risk Register'!$A$6:$A$105,0)),0))</f>
        <v/>
      </c>
      <c r="F185" s="37" t="str">
        <f>IF(A185="","",IFERROR(IF(INDEX('Risk Register'!$U$6:$U$105,MATCH(A185,'Risk Register'!$A$6:$A$105,0))="Within appetite","No","Yes"),""))</f>
        <v/>
      </c>
      <c r="G185" s="64" t="str">
        <f>IF(A185="","",SUMIF('Scenario Analysis'!$C$8:$C$57,A185,'Scenario Analysis'!$K$8:$K$57))</f>
        <v/>
      </c>
      <c r="H185" s="37" t="str">
        <f t="shared" si="5"/>
        <v/>
      </c>
    </row>
    <row r="186" spans="1:8" x14ac:dyDescent="0.35">
      <c r="A186" s="35"/>
      <c r="B186" s="35"/>
      <c r="C186" s="44" t="str">
        <f>IF(A186="","",IFERROR(INDEX('Risk Register'!$B$6:$B$105,MATCH(A186,'Risk Register'!$A$6:$A$105,0)),"Unknown Risk ID"))</f>
        <v/>
      </c>
      <c r="D186" s="38" t="str">
        <f>IF(A186="","",IFERROR(INDEX('Risk Register'!$D$6:$D$105,MATCH(A186,'Risk Register'!$A$6:$A$105,0)),""))</f>
        <v/>
      </c>
      <c r="E186" s="37" t="str">
        <f>IF(A186="","",IFERROR(INDEX('Risk Register'!$O$6:$O$105,MATCH(A186,'Risk Register'!$A$6:$A$105,0)),0))</f>
        <v/>
      </c>
      <c r="F186" s="37" t="str">
        <f>IF(A186="","",IFERROR(IF(INDEX('Risk Register'!$U$6:$U$105,MATCH(A186,'Risk Register'!$A$6:$A$105,0))="Within appetite","No","Yes"),""))</f>
        <v/>
      </c>
      <c r="G186" s="64" t="str">
        <f>IF(A186="","",SUMIF('Scenario Analysis'!$C$8:$C$57,A186,'Scenario Analysis'!$K$8:$K$57))</f>
        <v/>
      </c>
      <c r="H186" s="37" t="str">
        <f t="shared" si="5"/>
        <v/>
      </c>
    </row>
    <row r="187" spans="1:8" x14ac:dyDescent="0.35">
      <c r="A187" s="35"/>
      <c r="B187" s="35"/>
      <c r="C187" s="44" t="str">
        <f>IF(A187="","",IFERROR(INDEX('Risk Register'!$B$6:$B$105,MATCH(A187,'Risk Register'!$A$6:$A$105,0)),"Unknown Risk ID"))</f>
        <v/>
      </c>
      <c r="D187" s="38" t="str">
        <f>IF(A187="","",IFERROR(INDEX('Risk Register'!$D$6:$D$105,MATCH(A187,'Risk Register'!$A$6:$A$105,0)),""))</f>
        <v/>
      </c>
      <c r="E187" s="37" t="str">
        <f>IF(A187="","",IFERROR(INDEX('Risk Register'!$O$6:$O$105,MATCH(A187,'Risk Register'!$A$6:$A$105,0)),0))</f>
        <v/>
      </c>
      <c r="F187" s="37" t="str">
        <f>IF(A187="","",IFERROR(IF(INDEX('Risk Register'!$U$6:$U$105,MATCH(A187,'Risk Register'!$A$6:$A$105,0))="Within appetite","No","Yes"),""))</f>
        <v/>
      </c>
      <c r="G187" s="64" t="str">
        <f>IF(A187="","",SUMIF('Scenario Analysis'!$C$8:$C$57,A187,'Scenario Analysis'!$K$8:$K$57))</f>
        <v/>
      </c>
      <c r="H187" s="37" t="str">
        <f t="shared" si="5"/>
        <v/>
      </c>
    </row>
    <row r="188" spans="1:8" x14ac:dyDescent="0.35">
      <c r="A188" s="35"/>
      <c r="B188" s="35"/>
      <c r="C188" s="44" t="str">
        <f>IF(A188="","",IFERROR(INDEX('Risk Register'!$B$6:$B$105,MATCH(A188,'Risk Register'!$A$6:$A$105,0)),"Unknown Risk ID"))</f>
        <v/>
      </c>
      <c r="D188" s="38" t="str">
        <f>IF(A188="","",IFERROR(INDEX('Risk Register'!$D$6:$D$105,MATCH(A188,'Risk Register'!$A$6:$A$105,0)),""))</f>
        <v/>
      </c>
      <c r="E188" s="37" t="str">
        <f>IF(A188="","",IFERROR(INDEX('Risk Register'!$O$6:$O$105,MATCH(A188,'Risk Register'!$A$6:$A$105,0)),0))</f>
        <v/>
      </c>
      <c r="F188" s="37" t="str">
        <f>IF(A188="","",IFERROR(IF(INDEX('Risk Register'!$U$6:$U$105,MATCH(A188,'Risk Register'!$A$6:$A$105,0))="Within appetite","No","Yes"),""))</f>
        <v/>
      </c>
      <c r="G188" s="64" t="str">
        <f>IF(A188="","",SUMIF('Scenario Analysis'!$C$8:$C$57,A188,'Scenario Analysis'!$K$8:$K$57))</f>
        <v/>
      </c>
      <c r="H188" s="37" t="str">
        <f t="shared" si="5"/>
        <v/>
      </c>
    </row>
    <row r="189" spans="1:8" x14ac:dyDescent="0.35">
      <c r="A189" s="35"/>
      <c r="B189" s="35"/>
      <c r="C189" s="44" t="str">
        <f>IF(A189="","",IFERROR(INDEX('Risk Register'!$B$6:$B$105,MATCH(A189,'Risk Register'!$A$6:$A$105,0)),"Unknown Risk ID"))</f>
        <v/>
      </c>
      <c r="D189" s="38" t="str">
        <f>IF(A189="","",IFERROR(INDEX('Risk Register'!$D$6:$D$105,MATCH(A189,'Risk Register'!$A$6:$A$105,0)),""))</f>
        <v/>
      </c>
      <c r="E189" s="37" t="str">
        <f>IF(A189="","",IFERROR(INDEX('Risk Register'!$O$6:$O$105,MATCH(A189,'Risk Register'!$A$6:$A$105,0)),0))</f>
        <v/>
      </c>
      <c r="F189" s="37" t="str">
        <f>IF(A189="","",IFERROR(IF(INDEX('Risk Register'!$U$6:$U$105,MATCH(A189,'Risk Register'!$A$6:$A$105,0))="Within appetite","No","Yes"),""))</f>
        <v/>
      </c>
      <c r="G189" s="64" t="str">
        <f>IF(A189="","",SUMIF('Scenario Analysis'!$C$8:$C$57,A189,'Scenario Analysis'!$K$8:$K$57))</f>
        <v/>
      </c>
      <c r="H189" s="37" t="str">
        <f t="shared" si="5"/>
        <v/>
      </c>
    </row>
    <row r="190" spans="1:8" x14ac:dyDescent="0.35">
      <c r="A190" s="35"/>
      <c r="B190" s="35"/>
      <c r="C190" s="44" t="str">
        <f>IF(A190="","",IFERROR(INDEX('Risk Register'!$B$6:$B$105,MATCH(A190,'Risk Register'!$A$6:$A$105,0)),"Unknown Risk ID"))</f>
        <v/>
      </c>
      <c r="D190" s="38" t="str">
        <f>IF(A190="","",IFERROR(INDEX('Risk Register'!$D$6:$D$105,MATCH(A190,'Risk Register'!$A$6:$A$105,0)),""))</f>
        <v/>
      </c>
      <c r="E190" s="37" t="str">
        <f>IF(A190="","",IFERROR(INDEX('Risk Register'!$O$6:$O$105,MATCH(A190,'Risk Register'!$A$6:$A$105,0)),0))</f>
        <v/>
      </c>
      <c r="F190" s="37" t="str">
        <f>IF(A190="","",IFERROR(IF(INDEX('Risk Register'!$U$6:$U$105,MATCH(A190,'Risk Register'!$A$6:$A$105,0))="Within appetite","No","Yes"),""))</f>
        <v/>
      </c>
      <c r="G190" s="64" t="str">
        <f>IF(A190="","",SUMIF('Scenario Analysis'!$C$8:$C$57,A190,'Scenario Analysis'!$K$8:$K$57))</f>
        <v/>
      </c>
      <c r="H190" s="37" t="str">
        <f t="shared" si="5"/>
        <v/>
      </c>
    </row>
    <row r="191" spans="1:8" x14ac:dyDescent="0.35">
      <c r="A191" s="35"/>
      <c r="B191" s="35"/>
      <c r="C191" s="44" t="str">
        <f>IF(A191="","",IFERROR(INDEX('Risk Register'!$B$6:$B$105,MATCH(A191,'Risk Register'!$A$6:$A$105,0)),"Unknown Risk ID"))</f>
        <v/>
      </c>
      <c r="D191" s="38" t="str">
        <f>IF(A191="","",IFERROR(INDEX('Risk Register'!$D$6:$D$105,MATCH(A191,'Risk Register'!$A$6:$A$105,0)),""))</f>
        <v/>
      </c>
      <c r="E191" s="37" t="str">
        <f>IF(A191="","",IFERROR(INDEX('Risk Register'!$O$6:$O$105,MATCH(A191,'Risk Register'!$A$6:$A$105,0)),0))</f>
        <v/>
      </c>
      <c r="F191" s="37" t="str">
        <f>IF(A191="","",IFERROR(IF(INDEX('Risk Register'!$U$6:$U$105,MATCH(A191,'Risk Register'!$A$6:$A$105,0))="Within appetite","No","Yes"),""))</f>
        <v/>
      </c>
      <c r="G191" s="64" t="str">
        <f>IF(A191="","",SUMIF('Scenario Analysis'!$C$8:$C$57,A191,'Scenario Analysis'!$K$8:$K$57))</f>
        <v/>
      </c>
      <c r="H191" s="37" t="str">
        <f t="shared" si="5"/>
        <v/>
      </c>
    </row>
    <row r="192" spans="1:8" x14ac:dyDescent="0.35">
      <c r="A192" s="35"/>
      <c r="B192" s="35"/>
      <c r="C192" s="44" t="str">
        <f>IF(A192="","",IFERROR(INDEX('Risk Register'!$B$6:$B$105,MATCH(A192,'Risk Register'!$A$6:$A$105,0)),"Unknown Risk ID"))</f>
        <v/>
      </c>
      <c r="D192" s="38" t="str">
        <f>IF(A192="","",IFERROR(INDEX('Risk Register'!$D$6:$D$105,MATCH(A192,'Risk Register'!$A$6:$A$105,0)),""))</f>
        <v/>
      </c>
      <c r="E192" s="37" t="str">
        <f>IF(A192="","",IFERROR(INDEX('Risk Register'!$O$6:$O$105,MATCH(A192,'Risk Register'!$A$6:$A$105,0)),0))</f>
        <v/>
      </c>
      <c r="F192" s="37" t="str">
        <f>IF(A192="","",IFERROR(IF(INDEX('Risk Register'!$U$6:$U$105,MATCH(A192,'Risk Register'!$A$6:$A$105,0))="Within appetite","No","Yes"),""))</f>
        <v/>
      </c>
      <c r="G192" s="64" t="str">
        <f>IF(A192="","",SUMIF('Scenario Analysis'!$C$8:$C$57,A192,'Scenario Analysis'!$K$8:$K$57))</f>
        <v/>
      </c>
      <c r="H192" s="37" t="str">
        <f t="shared" si="5"/>
        <v/>
      </c>
    </row>
    <row r="193" spans="1:8" x14ac:dyDescent="0.35">
      <c r="A193" s="35"/>
      <c r="B193" s="35"/>
      <c r="C193" s="44" t="str">
        <f>IF(A193="","",IFERROR(INDEX('Risk Register'!$B$6:$B$105,MATCH(A193,'Risk Register'!$A$6:$A$105,0)),"Unknown Risk ID"))</f>
        <v/>
      </c>
      <c r="D193" s="38" t="str">
        <f>IF(A193="","",IFERROR(INDEX('Risk Register'!$D$6:$D$105,MATCH(A193,'Risk Register'!$A$6:$A$105,0)),""))</f>
        <v/>
      </c>
      <c r="E193" s="37" t="str">
        <f>IF(A193="","",IFERROR(INDEX('Risk Register'!$O$6:$O$105,MATCH(A193,'Risk Register'!$A$6:$A$105,0)),0))</f>
        <v/>
      </c>
      <c r="F193" s="37" t="str">
        <f>IF(A193="","",IFERROR(IF(INDEX('Risk Register'!$U$6:$U$105,MATCH(A193,'Risk Register'!$A$6:$A$105,0))="Within appetite","No","Yes"),""))</f>
        <v/>
      </c>
      <c r="G193" s="64" t="str">
        <f>IF(A193="","",SUMIF('Scenario Analysis'!$C$8:$C$57,A193,'Scenario Analysis'!$K$8:$K$57))</f>
        <v/>
      </c>
      <c r="H193" s="37" t="str">
        <f t="shared" si="5"/>
        <v/>
      </c>
    </row>
    <row r="194" spans="1:8" x14ac:dyDescent="0.35">
      <c r="A194" s="35"/>
      <c r="B194" s="35"/>
      <c r="C194" s="44" t="str">
        <f>IF(A194="","",IFERROR(INDEX('Risk Register'!$B$6:$B$105,MATCH(A194,'Risk Register'!$A$6:$A$105,0)),"Unknown Risk ID"))</f>
        <v/>
      </c>
      <c r="D194" s="38" t="str">
        <f>IF(A194="","",IFERROR(INDEX('Risk Register'!$D$6:$D$105,MATCH(A194,'Risk Register'!$A$6:$A$105,0)),""))</f>
        <v/>
      </c>
      <c r="E194" s="37" t="str">
        <f>IF(A194="","",IFERROR(INDEX('Risk Register'!$O$6:$O$105,MATCH(A194,'Risk Register'!$A$6:$A$105,0)),0))</f>
        <v/>
      </c>
      <c r="F194" s="37" t="str">
        <f>IF(A194="","",IFERROR(IF(INDEX('Risk Register'!$U$6:$U$105,MATCH(A194,'Risk Register'!$A$6:$A$105,0))="Within appetite","No","Yes"),""))</f>
        <v/>
      </c>
      <c r="G194" s="64" t="str">
        <f>IF(A194="","",SUMIF('Scenario Analysis'!$C$8:$C$57,A194,'Scenario Analysis'!$K$8:$K$57))</f>
        <v/>
      </c>
      <c r="H194" s="37" t="str">
        <f t="shared" si="5"/>
        <v/>
      </c>
    </row>
    <row r="195" spans="1:8" x14ac:dyDescent="0.35">
      <c r="A195" s="35"/>
      <c r="B195" s="35"/>
      <c r="C195" s="44" t="str">
        <f>IF(A195="","",IFERROR(INDEX('Risk Register'!$B$6:$B$105,MATCH(A195,'Risk Register'!$A$6:$A$105,0)),"Unknown Risk ID"))</f>
        <v/>
      </c>
      <c r="D195" s="38" t="str">
        <f>IF(A195="","",IFERROR(INDEX('Risk Register'!$D$6:$D$105,MATCH(A195,'Risk Register'!$A$6:$A$105,0)),""))</f>
        <v/>
      </c>
      <c r="E195" s="37" t="str">
        <f>IF(A195="","",IFERROR(INDEX('Risk Register'!$O$6:$O$105,MATCH(A195,'Risk Register'!$A$6:$A$105,0)),0))</f>
        <v/>
      </c>
      <c r="F195" s="37" t="str">
        <f>IF(A195="","",IFERROR(IF(INDEX('Risk Register'!$U$6:$U$105,MATCH(A195,'Risk Register'!$A$6:$A$105,0))="Within appetite","No","Yes"),""))</f>
        <v/>
      </c>
      <c r="G195" s="64" t="str">
        <f>IF(A195="","",SUMIF('Scenario Analysis'!$C$8:$C$57,A195,'Scenario Analysis'!$K$8:$K$57))</f>
        <v/>
      </c>
      <c r="H195" s="37" t="str">
        <f t="shared" si="5"/>
        <v/>
      </c>
    </row>
    <row r="196" spans="1:8" x14ac:dyDescent="0.35">
      <c r="A196" s="35"/>
      <c r="B196" s="35"/>
      <c r="C196" s="44" t="str">
        <f>IF(A196="","",IFERROR(INDEX('Risk Register'!$B$6:$B$105,MATCH(A196,'Risk Register'!$A$6:$A$105,0)),"Unknown Risk ID"))</f>
        <v/>
      </c>
      <c r="D196" s="38" t="str">
        <f>IF(A196="","",IFERROR(INDEX('Risk Register'!$D$6:$D$105,MATCH(A196,'Risk Register'!$A$6:$A$105,0)),""))</f>
        <v/>
      </c>
      <c r="E196" s="37" t="str">
        <f>IF(A196="","",IFERROR(INDEX('Risk Register'!$O$6:$O$105,MATCH(A196,'Risk Register'!$A$6:$A$105,0)),0))</f>
        <v/>
      </c>
      <c r="F196" s="37" t="str">
        <f>IF(A196="","",IFERROR(IF(INDEX('Risk Register'!$U$6:$U$105,MATCH(A196,'Risk Register'!$A$6:$A$105,0))="Within appetite","No","Yes"),""))</f>
        <v/>
      </c>
      <c r="G196" s="64" t="str">
        <f>IF(A196="","",SUMIF('Scenario Analysis'!$C$8:$C$57,A196,'Scenario Analysis'!$K$8:$K$57))</f>
        <v/>
      </c>
      <c r="H196" s="37" t="str">
        <f t="shared" si="5"/>
        <v/>
      </c>
    </row>
    <row r="197" spans="1:8" x14ac:dyDescent="0.35">
      <c r="A197" s="35"/>
      <c r="B197" s="35"/>
      <c r="C197" s="44" t="str">
        <f>IF(A197="","",IFERROR(INDEX('Risk Register'!$B$6:$B$105,MATCH(A197,'Risk Register'!$A$6:$A$105,0)),"Unknown Risk ID"))</f>
        <v/>
      </c>
      <c r="D197" s="38" t="str">
        <f>IF(A197="","",IFERROR(INDEX('Risk Register'!$D$6:$D$105,MATCH(A197,'Risk Register'!$A$6:$A$105,0)),""))</f>
        <v/>
      </c>
      <c r="E197" s="37" t="str">
        <f>IF(A197="","",IFERROR(INDEX('Risk Register'!$O$6:$O$105,MATCH(A197,'Risk Register'!$A$6:$A$105,0)),0))</f>
        <v/>
      </c>
      <c r="F197" s="37" t="str">
        <f>IF(A197="","",IFERROR(IF(INDEX('Risk Register'!$U$6:$U$105,MATCH(A197,'Risk Register'!$A$6:$A$105,0))="Within appetite","No","Yes"),""))</f>
        <v/>
      </c>
      <c r="G197" s="64" t="str">
        <f>IF(A197="","",SUMIF('Scenario Analysis'!$C$8:$C$57,A197,'Scenario Analysis'!$K$8:$K$57))</f>
        <v/>
      </c>
      <c r="H197" s="37" t="str">
        <f t="shared" si="5"/>
        <v/>
      </c>
    </row>
    <row r="198" spans="1:8" x14ac:dyDescent="0.35">
      <c r="A198" s="35"/>
      <c r="B198" s="35"/>
      <c r="C198" s="44" t="str">
        <f>IF(A198="","",IFERROR(INDEX('Risk Register'!$B$6:$B$105,MATCH(A198,'Risk Register'!$A$6:$A$105,0)),"Unknown Risk ID"))</f>
        <v/>
      </c>
      <c r="D198" s="38" t="str">
        <f>IF(A198="","",IFERROR(INDEX('Risk Register'!$D$6:$D$105,MATCH(A198,'Risk Register'!$A$6:$A$105,0)),""))</f>
        <v/>
      </c>
      <c r="E198" s="37" t="str">
        <f>IF(A198="","",IFERROR(INDEX('Risk Register'!$O$6:$O$105,MATCH(A198,'Risk Register'!$A$6:$A$105,0)),0))</f>
        <v/>
      </c>
      <c r="F198" s="37" t="str">
        <f>IF(A198="","",IFERROR(IF(INDEX('Risk Register'!$U$6:$U$105,MATCH(A198,'Risk Register'!$A$6:$A$105,0))="Within appetite","No","Yes"),""))</f>
        <v/>
      </c>
      <c r="G198" s="64" t="str">
        <f>IF(A198="","",SUMIF('Scenario Analysis'!$C$8:$C$57,A198,'Scenario Analysis'!$K$8:$K$57))</f>
        <v/>
      </c>
      <c r="H198" s="37" t="str">
        <f t="shared" ref="H198:H205" si="6">IF(OR(A198="",B198=""),"",IF(COUNTIFS($A$6:$A$205,A198,$B$6:$B$205,B198)&gt;1,"Duplicate",""))</f>
        <v/>
      </c>
    </row>
    <row r="199" spans="1:8" x14ac:dyDescent="0.35">
      <c r="A199" s="35"/>
      <c r="B199" s="35"/>
      <c r="C199" s="44" t="str">
        <f>IF(A199="","",IFERROR(INDEX('Risk Register'!$B$6:$B$105,MATCH(A199,'Risk Register'!$A$6:$A$105,0)),"Unknown Risk ID"))</f>
        <v/>
      </c>
      <c r="D199" s="38" t="str">
        <f>IF(A199="","",IFERROR(INDEX('Risk Register'!$D$6:$D$105,MATCH(A199,'Risk Register'!$A$6:$A$105,0)),""))</f>
        <v/>
      </c>
      <c r="E199" s="37" t="str">
        <f>IF(A199="","",IFERROR(INDEX('Risk Register'!$O$6:$O$105,MATCH(A199,'Risk Register'!$A$6:$A$105,0)),0))</f>
        <v/>
      </c>
      <c r="F199" s="37" t="str">
        <f>IF(A199="","",IFERROR(IF(INDEX('Risk Register'!$U$6:$U$105,MATCH(A199,'Risk Register'!$A$6:$A$105,0))="Within appetite","No","Yes"),""))</f>
        <v/>
      </c>
      <c r="G199" s="64" t="str">
        <f>IF(A199="","",SUMIF('Scenario Analysis'!$C$8:$C$57,A199,'Scenario Analysis'!$K$8:$K$57))</f>
        <v/>
      </c>
      <c r="H199" s="37" t="str">
        <f t="shared" si="6"/>
        <v/>
      </c>
    </row>
    <row r="200" spans="1:8" x14ac:dyDescent="0.35">
      <c r="A200" s="35"/>
      <c r="B200" s="35"/>
      <c r="C200" s="44" t="str">
        <f>IF(A200="","",IFERROR(INDEX('Risk Register'!$B$6:$B$105,MATCH(A200,'Risk Register'!$A$6:$A$105,0)),"Unknown Risk ID"))</f>
        <v/>
      </c>
      <c r="D200" s="38" t="str">
        <f>IF(A200="","",IFERROR(INDEX('Risk Register'!$D$6:$D$105,MATCH(A200,'Risk Register'!$A$6:$A$105,0)),""))</f>
        <v/>
      </c>
      <c r="E200" s="37" t="str">
        <f>IF(A200="","",IFERROR(INDEX('Risk Register'!$O$6:$O$105,MATCH(A200,'Risk Register'!$A$6:$A$105,0)),0))</f>
        <v/>
      </c>
      <c r="F200" s="37" t="str">
        <f>IF(A200="","",IFERROR(IF(INDEX('Risk Register'!$U$6:$U$105,MATCH(A200,'Risk Register'!$A$6:$A$105,0))="Within appetite","No","Yes"),""))</f>
        <v/>
      </c>
      <c r="G200" s="64" t="str">
        <f>IF(A200="","",SUMIF('Scenario Analysis'!$C$8:$C$57,A200,'Scenario Analysis'!$K$8:$K$57))</f>
        <v/>
      </c>
      <c r="H200" s="37" t="str">
        <f t="shared" si="6"/>
        <v/>
      </c>
    </row>
    <row r="201" spans="1:8" x14ac:dyDescent="0.35">
      <c r="A201" s="35"/>
      <c r="B201" s="35"/>
      <c r="C201" s="44" t="str">
        <f>IF(A201="","",IFERROR(INDEX('Risk Register'!$B$6:$B$105,MATCH(A201,'Risk Register'!$A$6:$A$105,0)),"Unknown Risk ID"))</f>
        <v/>
      </c>
      <c r="D201" s="38" t="str">
        <f>IF(A201="","",IFERROR(INDEX('Risk Register'!$D$6:$D$105,MATCH(A201,'Risk Register'!$A$6:$A$105,0)),""))</f>
        <v/>
      </c>
      <c r="E201" s="37" t="str">
        <f>IF(A201="","",IFERROR(INDEX('Risk Register'!$O$6:$O$105,MATCH(A201,'Risk Register'!$A$6:$A$105,0)),0))</f>
        <v/>
      </c>
      <c r="F201" s="37" t="str">
        <f>IF(A201="","",IFERROR(IF(INDEX('Risk Register'!$U$6:$U$105,MATCH(A201,'Risk Register'!$A$6:$A$105,0))="Within appetite","No","Yes"),""))</f>
        <v/>
      </c>
      <c r="G201" s="64" t="str">
        <f>IF(A201="","",SUMIF('Scenario Analysis'!$C$8:$C$57,A201,'Scenario Analysis'!$K$8:$K$57))</f>
        <v/>
      </c>
      <c r="H201" s="37" t="str">
        <f t="shared" si="6"/>
        <v/>
      </c>
    </row>
    <row r="202" spans="1:8" x14ac:dyDescent="0.35">
      <c r="A202" s="35"/>
      <c r="B202" s="35"/>
      <c r="C202" s="44" t="str">
        <f>IF(A202="","",IFERROR(INDEX('Risk Register'!$B$6:$B$105,MATCH(A202,'Risk Register'!$A$6:$A$105,0)),"Unknown Risk ID"))</f>
        <v/>
      </c>
      <c r="D202" s="38" t="str">
        <f>IF(A202="","",IFERROR(INDEX('Risk Register'!$D$6:$D$105,MATCH(A202,'Risk Register'!$A$6:$A$105,0)),""))</f>
        <v/>
      </c>
      <c r="E202" s="37" t="str">
        <f>IF(A202="","",IFERROR(INDEX('Risk Register'!$O$6:$O$105,MATCH(A202,'Risk Register'!$A$6:$A$105,0)),0))</f>
        <v/>
      </c>
      <c r="F202" s="37" t="str">
        <f>IF(A202="","",IFERROR(IF(INDEX('Risk Register'!$U$6:$U$105,MATCH(A202,'Risk Register'!$A$6:$A$105,0))="Within appetite","No","Yes"),""))</f>
        <v/>
      </c>
      <c r="G202" s="64" t="str">
        <f>IF(A202="","",SUMIF('Scenario Analysis'!$C$8:$C$57,A202,'Scenario Analysis'!$K$8:$K$57))</f>
        <v/>
      </c>
      <c r="H202" s="37" t="str">
        <f t="shared" si="6"/>
        <v/>
      </c>
    </row>
    <row r="203" spans="1:8" x14ac:dyDescent="0.35">
      <c r="A203" s="35"/>
      <c r="B203" s="35"/>
      <c r="C203" s="44" t="str">
        <f>IF(A203="","",IFERROR(INDEX('Risk Register'!$B$6:$B$105,MATCH(A203,'Risk Register'!$A$6:$A$105,0)),"Unknown Risk ID"))</f>
        <v/>
      </c>
      <c r="D203" s="38" t="str">
        <f>IF(A203="","",IFERROR(INDEX('Risk Register'!$D$6:$D$105,MATCH(A203,'Risk Register'!$A$6:$A$105,0)),""))</f>
        <v/>
      </c>
      <c r="E203" s="37" t="str">
        <f>IF(A203="","",IFERROR(INDEX('Risk Register'!$O$6:$O$105,MATCH(A203,'Risk Register'!$A$6:$A$105,0)),0))</f>
        <v/>
      </c>
      <c r="F203" s="37" t="str">
        <f>IF(A203="","",IFERROR(IF(INDEX('Risk Register'!$U$6:$U$105,MATCH(A203,'Risk Register'!$A$6:$A$105,0))="Within appetite","No","Yes"),""))</f>
        <v/>
      </c>
      <c r="G203" s="64" t="str">
        <f>IF(A203="","",SUMIF('Scenario Analysis'!$C$8:$C$57,A203,'Scenario Analysis'!$K$8:$K$57))</f>
        <v/>
      </c>
      <c r="H203" s="37" t="str">
        <f t="shared" si="6"/>
        <v/>
      </c>
    </row>
    <row r="204" spans="1:8" x14ac:dyDescent="0.35">
      <c r="A204" s="35"/>
      <c r="B204" s="35"/>
      <c r="C204" s="44" t="str">
        <f>IF(A204="","",IFERROR(INDEX('Risk Register'!$B$6:$B$105,MATCH(A204,'Risk Register'!$A$6:$A$105,0)),"Unknown Risk ID"))</f>
        <v/>
      </c>
      <c r="D204" s="38" t="str">
        <f>IF(A204="","",IFERROR(INDEX('Risk Register'!$D$6:$D$105,MATCH(A204,'Risk Register'!$A$6:$A$105,0)),""))</f>
        <v/>
      </c>
      <c r="E204" s="37" t="str">
        <f>IF(A204="","",IFERROR(INDEX('Risk Register'!$O$6:$O$105,MATCH(A204,'Risk Register'!$A$6:$A$105,0)),0))</f>
        <v/>
      </c>
      <c r="F204" s="37" t="str">
        <f>IF(A204="","",IFERROR(IF(INDEX('Risk Register'!$U$6:$U$105,MATCH(A204,'Risk Register'!$A$6:$A$105,0))="Within appetite","No","Yes"),""))</f>
        <v/>
      </c>
      <c r="G204" s="64" t="str">
        <f>IF(A204="","",SUMIF('Scenario Analysis'!$C$8:$C$57,A204,'Scenario Analysis'!$K$8:$K$57))</f>
        <v/>
      </c>
      <c r="H204" s="37" t="str">
        <f t="shared" si="6"/>
        <v/>
      </c>
    </row>
    <row r="205" spans="1:8" x14ac:dyDescent="0.35">
      <c r="A205" s="35"/>
      <c r="B205" s="35"/>
      <c r="C205" s="44" t="str">
        <f>IF(A205="","",IFERROR(INDEX('Risk Register'!$B$6:$B$105,MATCH(A205,'Risk Register'!$A$6:$A$105,0)),"Unknown Risk ID"))</f>
        <v/>
      </c>
      <c r="D205" s="38" t="str">
        <f>IF(A205="","",IFERROR(INDEX('Risk Register'!$D$6:$D$105,MATCH(A205,'Risk Register'!$A$6:$A$105,0)),""))</f>
        <v/>
      </c>
      <c r="E205" s="37" t="str">
        <f>IF(A205="","",IFERROR(INDEX('Risk Register'!$O$6:$O$105,MATCH(A205,'Risk Register'!$A$6:$A$105,0)),0))</f>
        <v/>
      </c>
      <c r="F205" s="37" t="str">
        <f>IF(A205="","",IFERROR(IF(INDEX('Risk Register'!$U$6:$U$105,MATCH(A205,'Risk Register'!$A$6:$A$105,0))="Within appetite","No","Yes"),""))</f>
        <v/>
      </c>
      <c r="G205" s="64" t="str">
        <f>IF(A205="","",SUMIF('Scenario Analysis'!$C$8:$C$57,A205,'Scenario Analysis'!$K$8:$K$57))</f>
        <v/>
      </c>
      <c r="H205" s="37" t="str">
        <f t="shared" si="6"/>
        <v/>
      </c>
    </row>
  </sheetData>
  <autoFilter ref="A5:H205" xr:uid="{00000000-0001-0000-0E00-000000000000}"/>
  <conditionalFormatting sqref="F6:F205">
    <cfRule type="expression" dxfId="20" priority="3">
      <formula>F6="Yes"</formula>
    </cfRule>
  </conditionalFormatting>
  <conditionalFormatting sqref="H6:H205">
    <cfRule type="expression" dxfId="19" priority="2">
      <formula>H6="Duplicate"</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r:uid="{00000000-0002-0000-0E00-000000000000}">
          <x14:formula1>
            <xm:f>'Risk Register'!$A$6:$A$105</xm:f>
          </x14:formula1>
          <x14:formula2>
            <xm:f>0</xm:f>
          </x14:formula2>
          <xm:sqref>A6:A205</xm:sqref>
        </x14:dataValidation>
        <x14:dataValidation type="list" allowBlank="1" showErrorMessage="1" xr:uid="{00000000-0002-0000-0E00-000001000000}">
          <x14:formula1>
            <xm:f>'Risk Aggregation'!$A$10:$A$29</xm:f>
          </x14:formula1>
          <x14:formula2>
            <xm:f>0</xm:f>
          </x14:formula2>
          <xm:sqref>B6:B205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BF8F00"/>
  </sheetPr>
  <dimension ref="A1:V105"/>
  <sheetViews>
    <sheetView showGridLines="0" workbookViewId="0">
      <pane xSplit="3" ySplit="5" topLeftCell="D6" activePane="bottomRight" state="frozen"/>
      <selection pane="topRight"/>
      <selection pane="bottomLeft"/>
      <selection pane="bottomRight" activeCell="D6" sqref="D6"/>
    </sheetView>
  </sheetViews>
  <sheetFormatPr defaultColWidth="8.6328125" defaultRowHeight="14.5" x14ac:dyDescent="0.35"/>
  <cols>
    <col min="1" max="1" width="13" customWidth="1"/>
    <col min="2" max="2" width="18" customWidth="1"/>
    <col min="3" max="3" width="9" customWidth="1"/>
    <col min="4" max="4" width="30" customWidth="1"/>
    <col min="5" max="5" width="24" customWidth="1"/>
    <col min="6" max="6" width="18" customWidth="1"/>
    <col min="7" max="7" width="10" customWidth="1"/>
    <col min="8" max="8" width="11" customWidth="1"/>
    <col min="9" max="13" width="10" customWidth="1"/>
    <col min="14" max="14" width="17" customWidth="1"/>
    <col min="15" max="15" width="30" customWidth="1"/>
    <col min="16" max="17" width="14" customWidth="1"/>
    <col min="18" max="18" width="11" customWidth="1"/>
    <col min="19" max="19" width="10" customWidth="1"/>
    <col min="20" max="20" width="13" customWidth="1"/>
    <col min="21" max="21" width="14" customWidth="1"/>
    <col min="22" max="22" width="30" customWidth="1"/>
  </cols>
  <sheetData>
    <row r="1" spans="1:22" ht="20" x14ac:dyDescent="0.4">
      <c r="A1" s="2" t="s">
        <v>635</v>
      </c>
    </row>
    <row r="2" spans="1:22" x14ac:dyDescent="0.35">
      <c r="A2" s="1" t="s">
        <v>636</v>
      </c>
    </row>
    <row r="3" spans="1:22" x14ac:dyDescent="0.35">
      <c r="A3" s="20" t="s">
        <v>637</v>
      </c>
      <c r="B3" s="21" t="s">
        <v>638</v>
      </c>
      <c r="D3" s="20" t="s">
        <v>639</v>
      </c>
      <c r="E3" s="62">
        <f>COUNTIF('Risk Register'!$A$6:$A$105,"?*")</f>
        <v>8</v>
      </c>
      <c r="F3" s="20" t="s">
        <v>640</v>
      </c>
      <c r="G3" s="62">
        <f>IFERROR(LOOKUP(2,1/('Risk Register'!$A$6:$A$105&lt;&gt;""),ROW('Risk Register'!$A$6:$A$105)),5)</f>
        <v>13</v>
      </c>
      <c r="I3" s="20" t="s">
        <v>641</v>
      </c>
      <c r="J3" s="62">
        <f ca="1">SUM(J6:J105)</f>
        <v>91</v>
      </c>
      <c r="K3" s="20" t="s">
        <v>642</v>
      </c>
      <c r="L3" s="62">
        <f ca="1">COUNTIF(N6:N105,"*breach")</f>
        <v>5</v>
      </c>
    </row>
    <row r="4" spans="1:22" x14ac:dyDescent="0.35">
      <c r="A4" s="49" t="s">
        <v>643</v>
      </c>
    </row>
    <row r="5" spans="1:22" ht="57.75" customHeight="1" x14ac:dyDescent="0.35">
      <c r="A5" s="16" t="s">
        <v>644</v>
      </c>
      <c r="B5" s="16" t="s">
        <v>637</v>
      </c>
      <c r="C5" s="16" t="s">
        <v>224</v>
      </c>
      <c r="D5" s="16" t="s">
        <v>225</v>
      </c>
      <c r="E5" s="16" t="s">
        <v>55</v>
      </c>
      <c r="F5" s="16" t="s">
        <v>227</v>
      </c>
      <c r="G5" s="16" t="s">
        <v>230</v>
      </c>
      <c r="H5" s="16" t="s">
        <v>645</v>
      </c>
      <c r="I5" s="16" t="s">
        <v>646</v>
      </c>
      <c r="J5" s="16" t="s">
        <v>313</v>
      </c>
      <c r="K5" s="16" t="s">
        <v>238</v>
      </c>
      <c r="L5" s="16" t="s">
        <v>58</v>
      </c>
      <c r="M5" s="16" t="s">
        <v>241</v>
      </c>
      <c r="N5" s="16" t="s">
        <v>148</v>
      </c>
      <c r="O5" s="16" t="s">
        <v>245</v>
      </c>
      <c r="P5" s="16" t="s">
        <v>647</v>
      </c>
      <c r="Q5" s="16" t="s">
        <v>648</v>
      </c>
      <c r="R5" s="16" t="s">
        <v>41</v>
      </c>
      <c r="S5" s="16" t="s">
        <v>250</v>
      </c>
      <c r="T5" s="16" t="s">
        <v>315</v>
      </c>
      <c r="U5" s="16" t="s">
        <v>649</v>
      </c>
      <c r="V5" s="16" t="s">
        <v>257</v>
      </c>
    </row>
    <row r="6" spans="1:22" x14ac:dyDescent="0.35">
      <c r="A6" s="45">
        <f ca="1">IF('Risk Register'!A6="","",Methodology!$B$4)</f>
        <v>46318</v>
      </c>
      <c r="B6" s="37" t="str">
        <f t="shared" ref="B6:B37" ca="1" si="0">IF(A6="","",$B$3)</f>
        <v>Q4 2026 review</v>
      </c>
      <c r="C6" s="38" t="str">
        <f ca="1">IF($A6="","",'Risk Register'!A6)</f>
        <v>R-001</v>
      </c>
      <c r="D6" s="44" t="str">
        <f ca="1">IF($A6="","",'Risk Register'!B6)</f>
        <v>Ransomware on production</v>
      </c>
      <c r="E6" s="38" t="str">
        <f ca="1">IF($A6="","",'Risk Register'!D6)</f>
        <v>Cyber &amp; Information Security</v>
      </c>
      <c r="F6" s="38" t="str">
        <f ca="1">IF($A6="","",'Risk Register'!E6)</f>
        <v>CISO</v>
      </c>
      <c r="G6" s="37">
        <f ca="1">IF($A6="","",'Risk Register'!H6)</f>
        <v>20</v>
      </c>
      <c r="H6" s="37">
        <f ca="1">IF($A6="","",'Risk Register'!M6)</f>
        <v>3</v>
      </c>
      <c r="I6" s="37">
        <f ca="1">IF($A6="","",'Risk Register'!N6)</f>
        <v>5</v>
      </c>
      <c r="J6" s="37">
        <f ca="1">IF($A6="","",'Risk Register'!O6)</f>
        <v>15</v>
      </c>
      <c r="K6" s="37" t="str">
        <f ca="1">IF($A6="","",'Risk Register'!P6)</f>
        <v>High</v>
      </c>
      <c r="L6" s="37">
        <f ca="1">IF($A6="","",'Risk Register'!S6)</f>
        <v>6</v>
      </c>
      <c r="M6" s="37">
        <f ca="1">IF($A6="","",'Risk Register'!T6)</f>
        <v>10</v>
      </c>
      <c r="N6" s="38" t="str">
        <f ca="1">IF($A6="","",'Risk Register'!U6)</f>
        <v>Tolerance breach</v>
      </c>
      <c r="O6" s="38" t="str">
        <f ca="1">IF($A6="","",'Risk Register'!Y6)</f>
        <v>Breach - not accepted</v>
      </c>
      <c r="P6" s="38" t="str">
        <f ca="1">IF($A6="","",'Risk Register'!J6&amp;"")</f>
        <v>Adequate</v>
      </c>
      <c r="Q6" s="37" t="str">
        <f ca="1">IF($A6="","",'RCM Summary'!J6)</f>
        <v>Adequate</v>
      </c>
      <c r="R6" s="37">
        <f ca="1">IF($A6="","",'Risk Register'!AC6)</f>
        <v>2</v>
      </c>
      <c r="S6" s="37" t="str">
        <f ca="1">IF($A6="","",'Risk Register'!AD6)</f>
        <v/>
      </c>
      <c r="T6" s="45" t="str">
        <f ca="1">IF($A6="","",'Risk Register'!X6)</f>
        <v/>
      </c>
      <c r="U6" s="37" t="str">
        <f ca="1">IF($A6="","",IFERROR(INDEX(Appetite!$J$6:$J$17,MATCH('Risk Register'!D6,Appetite!$A$6:$A$17,0)),""))</f>
        <v>v1.0</v>
      </c>
      <c r="V6" s="38" t="str">
        <f ca="1">IF($A6="","",'Risk Register'!AK6)</f>
        <v>Assessed (evidence-supported)</v>
      </c>
    </row>
    <row r="7" spans="1:22" x14ac:dyDescent="0.35">
      <c r="A7" s="45">
        <f ca="1">IF('Risk Register'!A7="","",Methodology!$B$4)</f>
        <v>46318</v>
      </c>
      <c r="B7" s="37" t="str">
        <f t="shared" ca="1" si="0"/>
        <v>Q4 2026 review</v>
      </c>
      <c r="C7" s="38" t="str">
        <f ca="1">IF($A7="","",'Risk Register'!A7)</f>
        <v>R-002</v>
      </c>
      <c r="D7" s="44" t="str">
        <f ca="1">IF($A7="","",'Risk Register'!B7)</f>
        <v>SaaS provider data breach</v>
      </c>
      <c r="E7" s="38" t="str">
        <f ca="1">IF($A7="","",'Risk Register'!D7)</f>
        <v>Third-Party</v>
      </c>
      <c r="F7" s="38" t="str">
        <f ca="1">IF($A7="","",'Risk Register'!E7)</f>
        <v>Head of Procurement</v>
      </c>
      <c r="G7" s="37">
        <f ca="1">IF($A7="","",'Risk Register'!H7)</f>
        <v>16</v>
      </c>
      <c r="H7" s="37">
        <f ca="1">IF($A7="","",'Risk Register'!M7)</f>
        <v>4</v>
      </c>
      <c r="I7" s="37">
        <f ca="1">IF($A7="","",'Risk Register'!N7)</f>
        <v>4</v>
      </c>
      <c r="J7" s="37">
        <f ca="1">IF($A7="","",'Risk Register'!O7)</f>
        <v>16</v>
      </c>
      <c r="K7" s="37" t="str">
        <f ca="1">IF($A7="","",'Risk Register'!P7)</f>
        <v>High</v>
      </c>
      <c r="L7" s="37">
        <f ca="1">IF($A7="","",'Risk Register'!S7)</f>
        <v>9</v>
      </c>
      <c r="M7" s="37">
        <f ca="1">IF($A7="","",'Risk Register'!T7)</f>
        <v>15</v>
      </c>
      <c r="N7" s="38" t="str">
        <f ca="1">IF($A7="","",'Risk Register'!U7)</f>
        <v>Tolerance breach</v>
      </c>
      <c r="O7" s="38" t="str">
        <f ca="1">IF($A7="","",'Risk Register'!Y7)</f>
        <v>Acceptance expired - breach open</v>
      </c>
      <c r="P7" s="38" t="str">
        <f ca="1">IF($A7="","",'Risk Register'!J7&amp;"")</f>
        <v>Weak</v>
      </c>
      <c r="Q7" s="37" t="str">
        <f ca="1">IF($A7="","",'RCM Summary'!J7)</f>
        <v>Weak</v>
      </c>
      <c r="R7" s="37">
        <f ca="1">IF($A7="","",'Risk Register'!AC7)</f>
        <v>0</v>
      </c>
      <c r="S7" s="37" t="str">
        <f ca="1">IF($A7="","",'Risk Register'!AD7)</f>
        <v>Gap</v>
      </c>
      <c r="T7" s="45">
        <f ca="1">IF($A7="","",'Risk Register'!X7)</f>
        <v>46295</v>
      </c>
      <c r="U7" s="37" t="str">
        <f ca="1">IF($A7="","",IFERROR(INDEX(Appetite!$J$6:$J$17,MATCH('Risk Register'!D7,Appetite!$A$6:$A$17,0)),""))</f>
        <v>v1.0</v>
      </c>
      <c r="V7" s="38" t="str">
        <f ca="1">IF($A7="","",'Risk Register'!AK7)</f>
        <v>Assessed (evidence-supported)</v>
      </c>
    </row>
    <row r="8" spans="1:22" x14ac:dyDescent="0.35">
      <c r="A8" s="45">
        <f ca="1">IF('Risk Register'!A8="","",Methodology!$B$4)</f>
        <v>46318</v>
      </c>
      <c r="B8" s="37" t="str">
        <f t="shared" ca="1" si="0"/>
        <v>Q4 2026 review</v>
      </c>
      <c r="C8" s="38" t="str">
        <f ca="1">IF($A8="","",'Risk Register'!A8)</f>
        <v>R-003</v>
      </c>
      <c r="D8" s="44" t="str">
        <f ca="1">IF($A8="","",'Risk Register'!B8)</f>
        <v>Sensitive data pasted into AI tools</v>
      </c>
      <c r="E8" s="38" t="str">
        <f ca="1">IF($A8="","",'Risk Register'!D8)</f>
        <v>Data Privacy</v>
      </c>
      <c r="F8" s="38" t="str">
        <f ca="1">IF($A8="","",'Risk Register'!E8)</f>
        <v>DPO</v>
      </c>
      <c r="G8" s="37">
        <f ca="1">IF($A8="","",'Risk Register'!H8)</f>
        <v>9</v>
      </c>
      <c r="H8" s="37">
        <f ca="1">IF($A8="","",'Risk Register'!M8)</f>
        <v>3</v>
      </c>
      <c r="I8" s="37">
        <f ca="1">IF($A8="","",'Risk Register'!N8)</f>
        <v>3</v>
      </c>
      <c r="J8" s="37">
        <f ca="1">IF($A8="","",'Risk Register'!O8)</f>
        <v>9</v>
      </c>
      <c r="K8" s="37" t="str">
        <f ca="1">IF($A8="","",'Risk Register'!P8)</f>
        <v>Medium</v>
      </c>
      <c r="L8" s="37">
        <f ca="1">IF($A8="","",'Risk Register'!S8)</f>
        <v>6</v>
      </c>
      <c r="M8" s="37">
        <f ca="1">IF($A8="","",'Risk Register'!T8)</f>
        <v>10</v>
      </c>
      <c r="N8" s="38" t="str">
        <f ca="1">IF($A8="","",'Risk Register'!U8)</f>
        <v>Appetite breach</v>
      </c>
      <c r="O8" s="38" t="str">
        <f ca="1">IF($A8="","",'Risk Register'!Y8)</f>
        <v>Breach - formally accepted</v>
      </c>
      <c r="P8" s="38" t="str">
        <f ca="1">IF($A8="","",'Risk Register'!J8&amp;"")</f>
        <v>Weak</v>
      </c>
      <c r="Q8" s="37" t="str">
        <f ca="1">IF($A8="","",'RCM Summary'!J8)</f>
        <v>Weak</v>
      </c>
      <c r="R8" s="37">
        <f ca="1">IF($A8="","",'Risk Register'!AC8)</f>
        <v>0</v>
      </c>
      <c r="S8" s="37" t="str">
        <f ca="1">IF($A8="","",'Risk Register'!AD8)</f>
        <v/>
      </c>
      <c r="T8" s="45">
        <f ca="1">IF($A8="","",'Risk Register'!X8)</f>
        <v>46477</v>
      </c>
      <c r="U8" s="37" t="str">
        <f ca="1">IF($A8="","",IFERROR(INDEX(Appetite!$J$6:$J$17,MATCH('Risk Register'!D8,Appetite!$A$6:$A$17,0)),""))</f>
        <v>v1.0</v>
      </c>
      <c r="V8" s="38" t="str">
        <f ca="1">IF($A8="","",'Risk Register'!AK8)</f>
        <v>Assessed (evidence-supported)</v>
      </c>
    </row>
    <row r="9" spans="1:22" x14ac:dyDescent="0.35">
      <c r="A9" s="45">
        <f ca="1">IF('Risk Register'!A9="","",Methodology!$B$4)</f>
        <v>46318</v>
      </c>
      <c r="B9" s="37" t="str">
        <f t="shared" ca="1" si="0"/>
        <v>Q4 2026 review</v>
      </c>
      <c r="C9" s="38" t="str">
        <f ca="1">IF($A9="","",'Risk Register'!A9)</f>
        <v>R-004</v>
      </c>
      <c r="D9" s="44" t="str">
        <f ca="1">IF($A9="","",'Risk Register'!B9)</f>
        <v>Missed regulatory deadlines</v>
      </c>
      <c r="E9" s="38" t="str">
        <f ca="1">IF($A9="","",'Risk Register'!D9)</f>
        <v>Compliance &amp; Regulatory</v>
      </c>
      <c r="F9" s="38" t="str">
        <f ca="1">IF($A9="","",'Risk Register'!E9)</f>
        <v>Head of Compliance</v>
      </c>
      <c r="G9" s="37">
        <f ca="1">IF($A9="","",'Risk Register'!H9)</f>
        <v>12</v>
      </c>
      <c r="H9" s="37">
        <f ca="1">IF($A9="","",'Risk Register'!M9)</f>
        <v>2</v>
      </c>
      <c r="I9" s="37">
        <f ca="1">IF($A9="","",'Risk Register'!N9)</f>
        <v>4</v>
      </c>
      <c r="J9" s="37">
        <f ca="1">IF($A9="","",'Risk Register'!O9)</f>
        <v>8</v>
      </c>
      <c r="K9" s="37" t="str">
        <f ca="1">IF($A9="","",'Risk Register'!P9)</f>
        <v>Medium</v>
      </c>
      <c r="L9" s="37">
        <f ca="1">IF($A9="","",'Risk Register'!S9)</f>
        <v>4</v>
      </c>
      <c r="M9" s="37">
        <f ca="1">IF($A9="","",'Risk Register'!T9)</f>
        <v>8</v>
      </c>
      <c r="N9" s="38" t="str">
        <f ca="1">IF($A9="","",'Risk Register'!U9)</f>
        <v>Appetite breach</v>
      </c>
      <c r="O9" s="38" t="str">
        <f ca="1">IF($A9="","",'Risk Register'!Y9)</f>
        <v>Breach - not accepted</v>
      </c>
      <c r="P9" s="38" t="str">
        <f ca="1">IF($A9="","",'Risk Register'!J9&amp;"")</f>
        <v>Strong</v>
      </c>
      <c r="Q9" s="37" t="str">
        <f ca="1">IF($A9="","",'RCM Summary'!J9)</f>
        <v>Adequate</v>
      </c>
      <c r="R9" s="37">
        <f ca="1">IF($A9="","",'Risk Register'!AC9)</f>
        <v>1</v>
      </c>
      <c r="S9" s="37" t="str">
        <f ca="1">IF($A9="","",'Risk Register'!AD9)</f>
        <v/>
      </c>
      <c r="T9" s="45" t="str">
        <f ca="1">IF($A9="","",'Risk Register'!X9)</f>
        <v/>
      </c>
      <c r="U9" s="37" t="str">
        <f ca="1">IF($A9="","",IFERROR(INDEX(Appetite!$J$6:$J$17,MATCH('Risk Register'!D9,Appetite!$A$6:$A$17,0)),""))</f>
        <v>v1.0</v>
      </c>
      <c r="V9" s="38" t="str">
        <f ca="1">IF($A9="","",'Risk Register'!AK9)</f>
        <v>Assessed (evidence-supported)</v>
      </c>
    </row>
    <row r="10" spans="1:22" x14ac:dyDescent="0.35">
      <c r="A10" s="45">
        <f ca="1">IF('Risk Register'!A10="","",Methodology!$B$4)</f>
        <v>46318</v>
      </c>
      <c r="B10" s="37" t="str">
        <f t="shared" ca="1" si="0"/>
        <v>Q4 2026 review</v>
      </c>
      <c r="C10" s="38" t="str">
        <f ca="1">IF($A10="","",'Risk Register'!A10)</f>
        <v>R-005</v>
      </c>
      <c r="D10" s="44" t="str">
        <f ca="1">IF($A10="","",'Risk Register'!B10)</f>
        <v>Key-person dependency</v>
      </c>
      <c r="E10" s="38" t="str">
        <f ca="1">IF($A10="","",'Risk Register'!D10)</f>
        <v>People</v>
      </c>
      <c r="F10" s="38" t="str">
        <f ca="1">IF($A10="","",'Risk Register'!E10)</f>
        <v>CTO</v>
      </c>
      <c r="G10" s="37">
        <f ca="1">IF($A10="","",'Risk Register'!H10)</f>
        <v>12</v>
      </c>
      <c r="H10" s="37">
        <f ca="1">IF($A10="","",'Risk Register'!M10)</f>
        <v>3</v>
      </c>
      <c r="I10" s="37">
        <f ca="1">IF($A10="","",'Risk Register'!N10)</f>
        <v>3</v>
      </c>
      <c r="J10" s="37">
        <f ca="1">IF($A10="","",'Risk Register'!O10)</f>
        <v>9</v>
      </c>
      <c r="K10" s="37" t="str">
        <f ca="1">IF($A10="","",'Risk Register'!P10)</f>
        <v>Medium</v>
      </c>
      <c r="L10" s="37">
        <f ca="1">IF($A10="","",'Risk Register'!S10)</f>
        <v>9</v>
      </c>
      <c r="M10" s="37">
        <f ca="1">IF($A10="","",'Risk Register'!T10)</f>
        <v>15</v>
      </c>
      <c r="N10" s="38" t="str">
        <f ca="1">IF($A10="","",'Risk Register'!U10)</f>
        <v>Within appetite</v>
      </c>
      <c r="O10" s="38" t="str">
        <f ca="1">IF($A10="","",'Risk Register'!Y10)</f>
        <v>Within appetite</v>
      </c>
      <c r="P10" s="38" t="str">
        <f ca="1">IF($A10="","",'Risk Register'!J10&amp;"")</f>
        <v>Adequate</v>
      </c>
      <c r="Q10" s="37" t="str">
        <f ca="1">IF($A10="","",'RCM Summary'!J10)</f>
        <v>None</v>
      </c>
      <c r="R10" s="37">
        <f ca="1">IF($A10="","",'Risk Register'!AC10)</f>
        <v>0</v>
      </c>
      <c r="S10" s="37" t="str">
        <f ca="1">IF($A10="","",'Risk Register'!AD10)</f>
        <v/>
      </c>
      <c r="T10" s="45" t="str">
        <f ca="1">IF($A10="","",'Risk Register'!X10)</f>
        <v/>
      </c>
      <c r="U10" s="37" t="str">
        <f ca="1">IF($A10="","",IFERROR(INDEX(Appetite!$J$6:$J$17,MATCH('Risk Register'!D10,Appetite!$A$6:$A$17,0)),""))</f>
        <v>v1.0</v>
      </c>
      <c r="V10" s="38" t="str">
        <f ca="1">IF($A10="","",'Risk Register'!AK10)</f>
        <v>Assessed (evidence-supported)</v>
      </c>
    </row>
    <row r="11" spans="1:22" x14ac:dyDescent="0.35">
      <c r="A11" s="45">
        <f ca="1">IF('Risk Register'!A11="","",Methodology!$B$4)</f>
        <v>46318</v>
      </c>
      <c r="B11" s="37" t="str">
        <f t="shared" ca="1" si="0"/>
        <v>Q4 2026 review</v>
      </c>
      <c r="C11" s="38" t="str">
        <f ca="1">IF($A11="","",'Risk Register'!A11)</f>
        <v>R-006</v>
      </c>
      <c r="D11" s="44" t="str">
        <f ca="1">IF($A11="","",'Risk Register'!B11)</f>
        <v>Legacy ERP out of support</v>
      </c>
      <c r="E11" s="38" t="str">
        <f ca="1">IF($A11="","",'Risk Register'!D11)</f>
        <v>Technology</v>
      </c>
      <c r="F11" s="38" t="str">
        <f ca="1">IF($A11="","",'Risk Register'!E11)</f>
        <v>CIO</v>
      </c>
      <c r="G11" s="37">
        <f ca="1">IF($A11="","",'Risk Register'!H11)</f>
        <v>15</v>
      </c>
      <c r="H11" s="37">
        <f ca="1">IF($A11="","",'Risk Register'!M11)</f>
        <v>5</v>
      </c>
      <c r="I11" s="37">
        <f ca="1">IF($A11="","",'Risk Register'!N11)</f>
        <v>3</v>
      </c>
      <c r="J11" s="37">
        <f ca="1">IF($A11="","",'Risk Register'!O11)</f>
        <v>15</v>
      </c>
      <c r="K11" s="37" t="str">
        <f ca="1">IF($A11="","",'Risk Register'!P11)</f>
        <v>High</v>
      </c>
      <c r="L11" s="37">
        <f ca="1">IF($A11="","",'Risk Register'!S11)</f>
        <v>9</v>
      </c>
      <c r="M11" s="37">
        <f ca="1">IF($A11="","",'Risk Register'!T11)</f>
        <v>15</v>
      </c>
      <c r="N11" s="38" t="str">
        <f ca="1">IF($A11="","",'Risk Register'!U11)</f>
        <v>Appetite breach</v>
      </c>
      <c r="O11" s="38" t="str">
        <f ca="1">IF($A11="","",'Risk Register'!Y11)</f>
        <v>Accepted - expiry not set</v>
      </c>
      <c r="P11" s="38" t="str">
        <f ca="1">IF($A11="","",'Risk Register'!J11&amp;"")</f>
        <v>None</v>
      </c>
      <c r="Q11" s="37" t="str">
        <f ca="1">IF($A11="","",'RCM Summary'!J11)</f>
        <v>None</v>
      </c>
      <c r="R11" s="37">
        <f ca="1">IF($A11="","",'Risk Register'!AC11)</f>
        <v>1</v>
      </c>
      <c r="S11" s="37" t="str">
        <f ca="1">IF($A11="","",'Risk Register'!AD11)</f>
        <v/>
      </c>
      <c r="T11" s="45" t="str">
        <f ca="1">IF($A11="","",'Risk Register'!X11)</f>
        <v/>
      </c>
      <c r="U11" s="37" t="str">
        <f ca="1">IF($A11="","",IFERROR(INDEX(Appetite!$J$6:$J$17,MATCH('Risk Register'!D11,Appetite!$A$6:$A$17,0)),""))</f>
        <v>v1.0</v>
      </c>
      <c r="V11" s="38" t="str">
        <f ca="1">IF($A11="","",'Risk Register'!AK11)</f>
        <v>Assessed (evidence-supported)</v>
      </c>
    </row>
    <row r="12" spans="1:22" x14ac:dyDescent="0.35">
      <c r="A12" s="45">
        <f ca="1">IF('Risk Register'!A12="","",Methodology!$B$4)</f>
        <v>46318</v>
      </c>
      <c r="B12" s="37" t="str">
        <f t="shared" ca="1" si="0"/>
        <v>Q4 2026 review</v>
      </c>
      <c r="C12" s="38" t="str">
        <f ca="1">IF($A12="","",'Risk Register'!A12)</f>
        <v>R-007</v>
      </c>
      <c r="D12" s="44" t="str">
        <f ca="1">IF($A12="","",'Risk Register'!B12)</f>
        <v>Supplier price inflation</v>
      </c>
      <c r="E12" s="38" t="str">
        <f ca="1">IF($A12="","",'Risk Register'!D12)</f>
        <v>Financial</v>
      </c>
      <c r="F12" s="38" t="str">
        <f ca="1">IF($A12="","",'Risk Register'!E12)</f>
        <v>CFO</v>
      </c>
      <c r="G12" s="37">
        <f ca="1">IF($A12="","",'Risk Register'!H12)</f>
        <v>9</v>
      </c>
      <c r="H12" s="37">
        <f ca="1">IF($A12="","",'Risk Register'!M12)</f>
        <v>3</v>
      </c>
      <c r="I12" s="37">
        <f ca="1">IF($A12="","",'Risk Register'!N12)</f>
        <v>3</v>
      </c>
      <c r="J12" s="37">
        <f ca="1">IF($A12="","",'Risk Register'!O12)</f>
        <v>9</v>
      </c>
      <c r="K12" s="37" t="str">
        <f ca="1">IF($A12="","",'Risk Register'!P12)</f>
        <v>Medium</v>
      </c>
      <c r="L12" s="37">
        <f ca="1">IF($A12="","",'Risk Register'!S12)</f>
        <v>9</v>
      </c>
      <c r="M12" s="37">
        <f ca="1">IF($A12="","",'Risk Register'!T12)</f>
        <v>15</v>
      </c>
      <c r="N12" s="38" t="str">
        <f ca="1">IF($A12="","",'Risk Register'!U12)</f>
        <v>Within appetite</v>
      </c>
      <c r="O12" s="38" t="str">
        <f ca="1">IF($A12="","",'Risk Register'!Y12)</f>
        <v>Within appetite</v>
      </c>
      <c r="P12" s="38" t="str">
        <f ca="1">IF($A12="","",'Risk Register'!J12&amp;"")</f>
        <v>Adequate</v>
      </c>
      <c r="Q12" s="37" t="str">
        <f ca="1">IF($A12="","",'RCM Summary'!J12)</f>
        <v>None</v>
      </c>
      <c r="R12" s="37">
        <f ca="1">IF($A12="","",'Risk Register'!AC12)</f>
        <v>0</v>
      </c>
      <c r="S12" s="37" t="str">
        <f ca="1">IF($A12="","",'Risk Register'!AD12)</f>
        <v/>
      </c>
      <c r="T12" s="45" t="str">
        <f ca="1">IF($A12="","",'Risk Register'!X12)</f>
        <v/>
      </c>
      <c r="U12" s="37" t="str">
        <f ca="1">IF($A12="","",IFERROR(INDEX(Appetite!$J$6:$J$17,MATCH('Risk Register'!D12,Appetite!$A$6:$A$17,0)),""))</f>
        <v>v1.0</v>
      </c>
      <c r="V12" s="38" t="str">
        <f ca="1">IF($A12="","",'Risk Register'!AK12)</f>
        <v>Inherent only (no valid assessment)</v>
      </c>
    </row>
    <row r="13" spans="1:22" x14ac:dyDescent="0.35">
      <c r="A13" s="45">
        <f ca="1">IF('Risk Register'!A13="","",Methodology!$B$4)</f>
        <v>46318</v>
      </c>
      <c r="B13" s="37" t="str">
        <f t="shared" ca="1" si="0"/>
        <v>Q4 2026 review</v>
      </c>
      <c r="C13" s="38" t="str">
        <f ca="1">IF($A13="","",'Risk Register'!A13)</f>
        <v>R-008</v>
      </c>
      <c r="D13" s="44" t="str">
        <f ca="1">IF($A13="","",'Risk Register'!B13)</f>
        <v>Loss of anchor customer</v>
      </c>
      <c r="E13" s="38" t="str">
        <f ca="1">IF($A13="","",'Risk Register'!D13)</f>
        <v>Strategic</v>
      </c>
      <c r="F13" s="38" t="str">
        <f ca="1">IF($A13="","",'Risk Register'!E13)</f>
        <v>CEO</v>
      </c>
      <c r="G13" s="37">
        <f ca="1">IF($A13="","",'Risk Register'!H13)</f>
        <v>10</v>
      </c>
      <c r="H13" s="37">
        <f ca="1">IF($A13="","",'Risk Register'!M13)</f>
        <v>2</v>
      </c>
      <c r="I13" s="37">
        <f ca="1">IF($A13="","",'Risk Register'!N13)</f>
        <v>5</v>
      </c>
      <c r="J13" s="37">
        <f ca="1">IF($A13="","",'Risk Register'!O13)</f>
        <v>10</v>
      </c>
      <c r="K13" s="37" t="str">
        <f ca="1">IF($A13="","",'Risk Register'!P13)</f>
        <v>High</v>
      </c>
      <c r="L13" s="37">
        <f ca="1">IF($A13="","",'Risk Register'!S13)</f>
        <v>12</v>
      </c>
      <c r="M13" s="37">
        <f ca="1">IF($A13="","",'Risk Register'!T13)</f>
        <v>20</v>
      </c>
      <c r="N13" s="38" t="str">
        <f ca="1">IF($A13="","",'Risk Register'!U13)</f>
        <v>Within appetite</v>
      </c>
      <c r="O13" s="38" t="str">
        <f ca="1">IF($A13="","",'Risk Register'!Y13)</f>
        <v>Within appetite</v>
      </c>
      <c r="P13" s="38" t="str">
        <f ca="1">IF($A13="","",'Risk Register'!J13&amp;"")</f>
        <v>Adequate</v>
      </c>
      <c r="Q13" s="37" t="str">
        <f ca="1">IF($A13="","",'RCM Summary'!J13)</f>
        <v>Strong</v>
      </c>
      <c r="R13" s="37">
        <f ca="1">IF($A13="","",'Risk Register'!AC13)</f>
        <v>0</v>
      </c>
      <c r="S13" s="37" t="str">
        <f ca="1">IF($A13="","",'Risk Register'!AD13)</f>
        <v/>
      </c>
      <c r="T13" s="45" t="str">
        <f ca="1">IF($A13="","",'Risk Register'!X13)</f>
        <v/>
      </c>
      <c r="U13" s="37" t="str">
        <f ca="1">IF($A13="","",IFERROR(INDEX(Appetite!$J$6:$J$17,MATCH('Risk Register'!D13,Appetite!$A$6:$A$17,0)),""))</f>
        <v>v1.0</v>
      </c>
      <c r="V13" s="38" t="str">
        <f ca="1">IF($A13="","",'Risk Register'!AK13)</f>
        <v>Inherent only (no valid assessment)</v>
      </c>
    </row>
    <row r="14" spans="1:22" x14ac:dyDescent="0.35">
      <c r="A14" s="45" t="str">
        <f>IF('Risk Register'!A14="","",Methodology!$B$4)</f>
        <v/>
      </c>
      <c r="B14" s="37" t="str">
        <f t="shared" si="0"/>
        <v/>
      </c>
      <c r="C14" s="38" t="str">
        <f>IF($A14="","",'Risk Register'!A14)</f>
        <v/>
      </c>
      <c r="D14" s="44" t="str">
        <f>IF($A14="","",'Risk Register'!B14)</f>
        <v/>
      </c>
      <c r="E14" s="38" t="str">
        <f>IF($A14="","",'Risk Register'!D14)</f>
        <v/>
      </c>
      <c r="F14" s="38" t="str">
        <f>IF($A14="","",'Risk Register'!E14)</f>
        <v/>
      </c>
      <c r="G14" s="37" t="str">
        <f>IF($A14="","",'Risk Register'!H14)</f>
        <v/>
      </c>
      <c r="H14" s="37" t="str">
        <f>IF($A14="","",'Risk Register'!M14)</f>
        <v/>
      </c>
      <c r="I14" s="37" t="str">
        <f>IF($A14="","",'Risk Register'!N14)</f>
        <v/>
      </c>
      <c r="J14" s="37" t="str">
        <f>IF($A14="","",'Risk Register'!O14)</f>
        <v/>
      </c>
      <c r="K14" s="37" t="str">
        <f>IF($A14="","",'Risk Register'!P14)</f>
        <v/>
      </c>
      <c r="L14" s="37" t="str">
        <f>IF($A14="","",'Risk Register'!S14)</f>
        <v/>
      </c>
      <c r="M14" s="37" t="str">
        <f>IF($A14="","",'Risk Register'!T14)</f>
        <v/>
      </c>
      <c r="N14" s="38" t="str">
        <f>IF($A14="","",'Risk Register'!U14)</f>
        <v/>
      </c>
      <c r="O14" s="38" t="str">
        <f>IF($A14="","",'Risk Register'!Y14)</f>
        <v/>
      </c>
      <c r="P14" s="38" t="str">
        <f>IF($A14="","",'Risk Register'!J14&amp;"")</f>
        <v/>
      </c>
      <c r="Q14" s="37" t="str">
        <f>IF($A14="","",'RCM Summary'!J14)</f>
        <v/>
      </c>
      <c r="R14" s="37" t="str">
        <f>IF($A14="","",'Risk Register'!AC14)</f>
        <v/>
      </c>
      <c r="S14" s="37" t="str">
        <f>IF($A14="","",'Risk Register'!AD14)</f>
        <v/>
      </c>
      <c r="T14" s="45" t="str">
        <f>IF($A14="","",'Risk Register'!X14)</f>
        <v/>
      </c>
      <c r="U14" s="37" t="str">
        <f>IF($A14="","",IFERROR(INDEX(Appetite!$J$6:$J$17,MATCH('Risk Register'!D14,Appetite!$A$6:$A$17,0)),""))</f>
        <v/>
      </c>
      <c r="V14" s="38" t="str">
        <f>IF($A14="","",'Risk Register'!AK14)</f>
        <v/>
      </c>
    </row>
    <row r="15" spans="1:22" x14ac:dyDescent="0.35">
      <c r="A15" s="45" t="str">
        <f>IF('Risk Register'!A15="","",Methodology!$B$4)</f>
        <v/>
      </c>
      <c r="B15" s="37" t="str">
        <f t="shared" si="0"/>
        <v/>
      </c>
      <c r="C15" s="38" t="str">
        <f>IF($A15="","",'Risk Register'!A15)</f>
        <v/>
      </c>
      <c r="D15" s="44" t="str">
        <f>IF($A15="","",'Risk Register'!B15)</f>
        <v/>
      </c>
      <c r="E15" s="38" t="str">
        <f>IF($A15="","",'Risk Register'!D15)</f>
        <v/>
      </c>
      <c r="F15" s="38" t="str">
        <f>IF($A15="","",'Risk Register'!E15)</f>
        <v/>
      </c>
      <c r="G15" s="37" t="str">
        <f>IF($A15="","",'Risk Register'!H15)</f>
        <v/>
      </c>
      <c r="H15" s="37" t="str">
        <f>IF($A15="","",'Risk Register'!M15)</f>
        <v/>
      </c>
      <c r="I15" s="37" t="str">
        <f>IF($A15="","",'Risk Register'!N15)</f>
        <v/>
      </c>
      <c r="J15" s="37" t="str">
        <f>IF($A15="","",'Risk Register'!O15)</f>
        <v/>
      </c>
      <c r="K15" s="37" t="str">
        <f>IF($A15="","",'Risk Register'!P15)</f>
        <v/>
      </c>
      <c r="L15" s="37" t="str">
        <f>IF($A15="","",'Risk Register'!S15)</f>
        <v/>
      </c>
      <c r="M15" s="37" t="str">
        <f>IF($A15="","",'Risk Register'!T15)</f>
        <v/>
      </c>
      <c r="N15" s="38" t="str">
        <f>IF($A15="","",'Risk Register'!U15)</f>
        <v/>
      </c>
      <c r="O15" s="38" t="str">
        <f>IF($A15="","",'Risk Register'!Y15)</f>
        <v/>
      </c>
      <c r="P15" s="38" t="str">
        <f>IF($A15="","",'Risk Register'!J15&amp;"")</f>
        <v/>
      </c>
      <c r="Q15" s="37" t="str">
        <f>IF($A15="","",'RCM Summary'!J15)</f>
        <v/>
      </c>
      <c r="R15" s="37" t="str">
        <f>IF($A15="","",'Risk Register'!AC15)</f>
        <v/>
      </c>
      <c r="S15" s="37" t="str">
        <f>IF($A15="","",'Risk Register'!AD15)</f>
        <v/>
      </c>
      <c r="T15" s="45" t="str">
        <f>IF($A15="","",'Risk Register'!X15)</f>
        <v/>
      </c>
      <c r="U15" s="37" t="str">
        <f>IF($A15="","",IFERROR(INDEX(Appetite!$J$6:$J$17,MATCH('Risk Register'!D15,Appetite!$A$6:$A$17,0)),""))</f>
        <v/>
      </c>
      <c r="V15" s="38" t="str">
        <f>IF($A15="","",'Risk Register'!AK15)</f>
        <v/>
      </c>
    </row>
    <row r="16" spans="1:22" x14ac:dyDescent="0.35">
      <c r="A16" s="45" t="str">
        <f>IF('Risk Register'!A16="","",Methodology!$B$4)</f>
        <v/>
      </c>
      <c r="B16" s="37" t="str">
        <f t="shared" si="0"/>
        <v/>
      </c>
      <c r="C16" s="38" t="str">
        <f>IF($A16="","",'Risk Register'!A16)</f>
        <v/>
      </c>
      <c r="D16" s="44" t="str">
        <f>IF($A16="","",'Risk Register'!B16)</f>
        <v/>
      </c>
      <c r="E16" s="38" t="str">
        <f>IF($A16="","",'Risk Register'!D16)</f>
        <v/>
      </c>
      <c r="F16" s="38" t="str">
        <f>IF($A16="","",'Risk Register'!E16)</f>
        <v/>
      </c>
      <c r="G16" s="37" t="str">
        <f>IF($A16="","",'Risk Register'!H16)</f>
        <v/>
      </c>
      <c r="H16" s="37" t="str">
        <f>IF($A16="","",'Risk Register'!M16)</f>
        <v/>
      </c>
      <c r="I16" s="37" t="str">
        <f>IF($A16="","",'Risk Register'!N16)</f>
        <v/>
      </c>
      <c r="J16" s="37" t="str">
        <f>IF($A16="","",'Risk Register'!O16)</f>
        <v/>
      </c>
      <c r="K16" s="37" t="str">
        <f>IF($A16="","",'Risk Register'!P16)</f>
        <v/>
      </c>
      <c r="L16" s="37" t="str">
        <f>IF($A16="","",'Risk Register'!S16)</f>
        <v/>
      </c>
      <c r="M16" s="37" t="str">
        <f>IF($A16="","",'Risk Register'!T16)</f>
        <v/>
      </c>
      <c r="N16" s="38" t="str">
        <f>IF($A16="","",'Risk Register'!U16)</f>
        <v/>
      </c>
      <c r="O16" s="38" t="str">
        <f>IF($A16="","",'Risk Register'!Y16)</f>
        <v/>
      </c>
      <c r="P16" s="38" t="str">
        <f>IF($A16="","",'Risk Register'!J16&amp;"")</f>
        <v/>
      </c>
      <c r="Q16" s="37" t="str">
        <f>IF($A16="","",'RCM Summary'!J16)</f>
        <v/>
      </c>
      <c r="R16" s="37" t="str">
        <f>IF($A16="","",'Risk Register'!AC16)</f>
        <v/>
      </c>
      <c r="S16" s="37" t="str">
        <f>IF($A16="","",'Risk Register'!AD16)</f>
        <v/>
      </c>
      <c r="T16" s="45" t="str">
        <f>IF($A16="","",'Risk Register'!X16)</f>
        <v/>
      </c>
      <c r="U16" s="37" t="str">
        <f>IF($A16="","",IFERROR(INDEX(Appetite!$J$6:$J$17,MATCH('Risk Register'!D16,Appetite!$A$6:$A$17,0)),""))</f>
        <v/>
      </c>
      <c r="V16" s="38" t="str">
        <f>IF($A16="","",'Risk Register'!AK16)</f>
        <v/>
      </c>
    </row>
    <row r="17" spans="1:22" x14ac:dyDescent="0.35">
      <c r="A17" s="45" t="str">
        <f>IF('Risk Register'!A17="","",Methodology!$B$4)</f>
        <v/>
      </c>
      <c r="B17" s="37" t="str">
        <f t="shared" si="0"/>
        <v/>
      </c>
      <c r="C17" s="38" t="str">
        <f>IF($A17="","",'Risk Register'!A17)</f>
        <v/>
      </c>
      <c r="D17" s="44" t="str">
        <f>IF($A17="","",'Risk Register'!B17)</f>
        <v/>
      </c>
      <c r="E17" s="38" t="str">
        <f>IF($A17="","",'Risk Register'!D17)</f>
        <v/>
      </c>
      <c r="F17" s="38" t="str">
        <f>IF($A17="","",'Risk Register'!E17)</f>
        <v/>
      </c>
      <c r="G17" s="37" t="str">
        <f>IF($A17="","",'Risk Register'!H17)</f>
        <v/>
      </c>
      <c r="H17" s="37" t="str">
        <f>IF($A17="","",'Risk Register'!M17)</f>
        <v/>
      </c>
      <c r="I17" s="37" t="str">
        <f>IF($A17="","",'Risk Register'!N17)</f>
        <v/>
      </c>
      <c r="J17" s="37" t="str">
        <f>IF($A17="","",'Risk Register'!O17)</f>
        <v/>
      </c>
      <c r="K17" s="37" t="str">
        <f>IF($A17="","",'Risk Register'!P17)</f>
        <v/>
      </c>
      <c r="L17" s="37" t="str">
        <f>IF($A17="","",'Risk Register'!S17)</f>
        <v/>
      </c>
      <c r="M17" s="37" t="str">
        <f>IF($A17="","",'Risk Register'!T17)</f>
        <v/>
      </c>
      <c r="N17" s="38" t="str">
        <f>IF($A17="","",'Risk Register'!U17)</f>
        <v/>
      </c>
      <c r="O17" s="38" t="str">
        <f>IF($A17="","",'Risk Register'!Y17)</f>
        <v/>
      </c>
      <c r="P17" s="38" t="str">
        <f>IF($A17="","",'Risk Register'!J17&amp;"")</f>
        <v/>
      </c>
      <c r="Q17" s="37" t="str">
        <f>IF($A17="","",'RCM Summary'!J17)</f>
        <v/>
      </c>
      <c r="R17" s="37" t="str">
        <f>IF($A17="","",'Risk Register'!AC17)</f>
        <v/>
      </c>
      <c r="S17" s="37" t="str">
        <f>IF($A17="","",'Risk Register'!AD17)</f>
        <v/>
      </c>
      <c r="T17" s="45" t="str">
        <f>IF($A17="","",'Risk Register'!X17)</f>
        <v/>
      </c>
      <c r="U17" s="37" t="str">
        <f>IF($A17="","",IFERROR(INDEX(Appetite!$J$6:$J$17,MATCH('Risk Register'!D17,Appetite!$A$6:$A$17,0)),""))</f>
        <v/>
      </c>
      <c r="V17" s="38" t="str">
        <f>IF($A17="","",'Risk Register'!AK17)</f>
        <v/>
      </c>
    </row>
    <row r="18" spans="1:22" x14ac:dyDescent="0.35">
      <c r="A18" s="45" t="str">
        <f>IF('Risk Register'!A18="","",Methodology!$B$4)</f>
        <v/>
      </c>
      <c r="B18" s="37" t="str">
        <f t="shared" si="0"/>
        <v/>
      </c>
      <c r="C18" s="38" t="str">
        <f>IF($A18="","",'Risk Register'!A18)</f>
        <v/>
      </c>
      <c r="D18" s="44" t="str">
        <f>IF($A18="","",'Risk Register'!B18)</f>
        <v/>
      </c>
      <c r="E18" s="38" t="str">
        <f>IF($A18="","",'Risk Register'!D18)</f>
        <v/>
      </c>
      <c r="F18" s="38" t="str">
        <f>IF($A18="","",'Risk Register'!E18)</f>
        <v/>
      </c>
      <c r="G18" s="37" t="str">
        <f>IF($A18="","",'Risk Register'!H18)</f>
        <v/>
      </c>
      <c r="H18" s="37" t="str">
        <f>IF($A18="","",'Risk Register'!M18)</f>
        <v/>
      </c>
      <c r="I18" s="37" t="str">
        <f>IF($A18="","",'Risk Register'!N18)</f>
        <v/>
      </c>
      <c r="J18" s="37" t="str">
        <f>IF($A18="","",'Risk Register'!O18)</f>
        <v/>
      </c>
      <c r="K18" s="37" t="str">
        <f>IF($A18="","",'Risk Register'!P18)</f>
        <v/>
      </c>
      <c r="L18" s="37" t="str">
        <f>IF($A18="","",'Risk Register'!S18)</f>
        <v/>
      </c>
      <c r="M18" s="37" t="str">
        <f>IF($A18="","",'Risk Register'!T18)</f>
        <v/>
      </c>
      <c r="N18" s="38" t="str">
        <f>IF($A18="","",'Risk Register'!U18)</f>
        <v/>
      </c>
      <c r="O18" s="38" t="str">
        <f>IF($A18="","",'Risk Register'!Y18)</f>
        <v/>
      </c>
      <c r="P18" s="38" t="str">
        <f>IF($A18="","",'Risk Register'!J18&amp;"")</f>
        <v/>
      </c>
      <c r="Q18" s="37" t="str">
        <f>IF($A18="","",'RCM Summary'!J18)</f>
        <v/>
      </c>
      <c r="R18" s="37" t="str">
        <f>IF($A18="","",'Risk Register'!AC18)</f>
        <v/>
      </c>
      <c r="S18" s="37" t="str">
        <f>IF($A18="","",'Risk Register'!AD18)</f>
        <v/>
      </c>
      <c r="T18" s="45" t="str">
        <f>IF($A18="","",'Risk Register'!X18)</f>
        <v/>
      </c>
      <c r="U18" s="37" t="str">
        <f>IF($A18="","",IFERROR(INDEX(Appetite!$J$6:$J$17,MATCH('Risk Register'!D18,Appetite!$A$6:$A$17,0)),""))</f>
        <v/>
      </c>
      <c r="V18" s="38" t="str">
        <f>IF($A18="","",'Risk Register'!AK18)</f>
        <v/>
      </c>
    </row>
    <row r="19" spans="1:22" x14ac:dyDescent="0.35">
      <c r="A19" s="45" t="str">
        <f>IF('Risk Register'!A19="","",Methodology!$B$4)</f>
        <v/>
      </c>
      <c r="B19" s="37" t="str">
        <f t="shared" si="0"/>
        <v/>
      </c>
      <c r="C19" s="38" t="str">
        <f>IF($A19="","",'Risk Register'!A19)</f>
        <v/>
      </c>
      <c r="D19" s="44" t="str">
        <f>IF($A19="","",'Risk Register'!B19)</f>
        <v/>
      </c>
      <c r="E19" s="38" t="str">
        <f>IF($A19="","",'Risk Register'!D19)</f>
        <v/>
      </c>
      <c r="F19" s="38" t="str">
        <f>IF($A19="","",'Risk Register'!E19)</f>
        <v/>
      </c>
      <c r="G19" s="37" t="str">
        <f>IF($A19="","",'Risk Register'!H19)</f>
        <v/>
      </c>
      <c r="H19" s="37" t="str">
        <f>IF($A19="","",'Risk Register'!M19)</f>
        <v/>
      </c>
      <c r="I19" s="37" t="str">
        <f>IF($A19="","",'Risk Register'!N19)</f>
        <v/>
      </c>
      <c r="J19" s="37" t="str">
        <f>IF($A19="","",'Risk Register'!O19)</f>
        <v/>
      </c>
      <c r="K19" s="37" t="str">
        <f>IF($A19="","",'Risk Register'!P19)</f>
        <v/>
      </c>
      <c r="L19" s="37" t="str">
        <f>IF($A19="","",'Risk Register'!S19)</f>
        <v/>
      </c>
      <c r="M19" s="37" t="str">
        <f>IF($A19="","",'Risk Register'!T19)</f>
        <v/>
      </c>
      <c r="N19" s="38" t="str">
        <f>IF($A19="","",'Risk Register'!U19)</f>
        <v/>
      </c>
      <c r="O19" s="38" t="str">
        <f>IF($A19="","",'Risk Register'!Y19)</f>
        <v/>
      </c>
      <c r="P19" s="38" t="str">
        <f>IF($A19="","",'Risk Register'!J19&amp;"")</f>
        <v/>
      </c>
      <c r="Q19" s="37" t="str">
        <f>IF($A19="","",'RCM Summary'!J19)</f>
        <v/>
      </c>
      <c r="R19" s="37" t="str">
        <f>IF($A19="","",'Risk Register'!AC19)</f>
        <v/>
      </c>
      <c r="S19" s="37" t="str">
        <f>IF($A19="","",'Risk Register'!AD19)</f>
        <v/>
      </c>
      <c r="T19" s="45" t="str">
        <f>IF($A19="","",'Risk Register'!X19)</f>
        <v/>
      </c>
      <c r="U19" s="37" t="str">
        <f>IF($A19="","",IFERROR(INDEX(Appetite!$J$6:$J$17,MATCH('Risk Register'!D19,Appetite!$A$6:$A$17,0)),""))</f>
        <v/>
      </c>
      <c r="V19" s="38" t="str">
        <f>IF($A19="","",'Risk Register'!AK19)</f>
        <v/>
      </c>
    </row>
    <row r="20" spans="1:22" x14ac:dyDescent="0.35">
      <c r="A20" s="45" t="str">
        <f>IF('Risk Register'!A20="","",Methodology!$B$4)</f>
        <v/>
      </c>
      <c r="B20" s="37" t="str">
        <f t="shared" si="0"/>
        <v/>
      </c>
      <c r="C20" s="38" t="str">
        <f>IF($A20="","",'Risk Register'!A20)</f>
        <v/>
      </c>
      <c r="D20" s="44" t="str">
        <f>IF($A20="","",'Risk Register'!B20)</f>
        <v/>
      </c>
      <c r="E20" s="38" t="str">
        <f>IF($A20="","",'Risk Register'!D20)</f>
        <v/>
      </c>
      <c r="F20" s="38" t="str">
        <f>IF($A20="","",'Risk Register'!E20)</f>
        <v/>
      </c>
      <c r="G20" s="37" t="str">
        <f>IF($A20="","",'Risk Register'!H20)</f>
        <v/>
      </c>
      <c r="H20" s="37" t="str">
        <f>IF($A20="","",'Risk Register'!M20)</f>
        <v/>
      </c>
      <c r="I20" s="37" t="str">
        <f>IF($A20="","",'Risk Register'!N20)</f>
        <v/>
      </c>
      <c r="J20" s="37" t="str">
        <f>IF($A20="","",'Risk Register'!O20)</f>
        <v/>
      </c>
      <c r="K20" s="37" t="str">
        <f>IF($A20="","",'Risk Register'!P20)</f>
        <v/>
      </c>
      <c r="L20" s="37" t="str">
        <f>IF($A20="","",'Risk Register'!S20)</f>
        <v/>
      </c>
      <c r="M20" s="37" t="str">
        <f>IF($A20="","",'Risk Register'!T20)</f>
        <v/>
      </c>
      <c r="N20" s="38" t="str">
        <f>IF($A20="","",'Risk Register'!U20)</f>
        <v/>
      </c>
      <c r="O20" s="38" t="str">
        <f>IF($A20="","",'Risk Register'!Y20)</f>
        <v/>
      </c>
      <c r="P20" s="38" t="str">
        <f>IF($A20="","",'Risk Register'!J20&amp;"")</f>
        <v/>
      </c>
      <c r="Q20" s="37" t="str">
        <f>IF($A20="","",'RCM Summary'!J20)</f>
        <v/>
      </c>
      <c r="R20" s="37" t="str">
        <f>IF($A20="","",'Risk Register'!AC20)</f>
        <v/>
      </c>
      <c r="S20" s="37" t="str">
        <f>IF($A20="","",'Risk Register'!AD20)</f>
        <v/>
      </c>
      <c r="T20" s="45" t="str">
        <f>IF($A20="","",'Risk Register'!X20)</f>
        <v/>
      </c>
      <c r="U20" s="37" t="str">
        <f>IF($A20="","",IFERROR(INDEX(Appetite!$J$6:$J$17,MATCH('Risk Register'!D20,Appetite!$A$6:$A$17,0)),""))</f>
        <v/>
      </c>
      <c r="V20" s="38" t="str">
        <f>IF($A20="","",'Risk Register'!AK20)</f>
        <v/>
      </c>
    </row>
    <row r="21" spans="1:22" x14ac:dyDescent="0.35">
      <c r="A21" s="45" t="str">
        <f>IF('Risk Register'!A21="","",Methodology!$B$4)</f>
        <v/>
      </c>
      <c r="B21" s="37" t="str">
        <f t="shared" si="0"/>
        <v/>
      </c>
      <c r="C21" s="38" t="str">
        <f>IF($A21="","",'Risk Register'!A21)</f>
        <v/>
      </c>
      <c r="D21" s="44" t="str">
        <f>IF($A21="","",'Risk Register'!B21)</f>
        <v/>
      </c>
      <c r="E21" s="38" t="str">
        <f>IF($A21="","",'Risk Register'!D21)</f>
        <v/>
      </c>
      <c r="F21" s="38" t="str">
        <f>IF($A21="","",'Risk Register'!E21)</f>
        <v/>
      </c>
      <c r="G21" s="37" t="str">
        <f>IF($A21="","",'Risk Register'!H21)</f>
        <v/>
      </c>
      <c r="H21" s="37" t="str">
        <f>IF($A21="","",'Risk Register'!M21)</f>
        <v/>
      </c>
      <c r="I21" s="37" t="str">
        <f>IF($A21="","",'Risk Register'!N21)</f>
        <v/>
      </c>
      <c r="J21" s="37" t="str">
        <f>IF($A21="","",'Risk Register'!O21)</f>
        <v/>
      </c>
      <c r="K21" s="37" t="str">
        <f>IF($A21="","",'Risk Register'!P21)</f>
        <v/>
      </c>
      <c r="L21" s="37" t="str">
        <f>IF($A21="","",'Risk Register'!S21)</f>
        <v/>
      </c>
      <c r="M21" s="37" t="str">
        <f>IF($A21="","",'Risk Register'!T21)</f>
        <v/>
      </c>
      <c r="N21" s="38" t="str">
        <f>IF($A21="","",'Risk Register'!U21)</f>
        <v/>
      </c>
      <c r="O21" s="38" t="str">
        <f>IF($A21="","",'Risk Register'!Y21)</f>
        <v/>
      </c>
      <c r="P21" s="38" t="str">
        <f>IF($A21="","",'Risk Register'!J21&amp;"")</f>
        <v/>
      </c>
      <c r="Q21" s="37" t="str">
        <f>IF($A21="","",'RCM Summary'!J21)</f>
        <v/>
      </c>
      <c r="R21" s="37" t="str">
        <f>IF($A21="","",'Risk Register'!AC21)</f>
        <v/>
      </c>
      <c r="S21" s="37" t="str">
        <f>IF($A21="","",'Risk Register'!AD21)</f>
        <v/>
      </c>
      <c r="T21" s="45" t="str">
        <f>IF($A21="","",'Risk Register'!X21)</f>
        <v/>
      </c>
      <c r="U21" s="37" t="str">
        <f>IF($A21="","",IFERROR(INDEX(Appetite!$J$6:$J$17,MATCH('Risk Register'!D21,Appetite!$A$6:$A$17,0)),""))</f>
        <v/>
      </c>
      <c r="V21" s="38" t="str">
        <f>IF($A21="","",'Risk Register'!AK21)</f>
        <v/>
      </c>
    </row>
    <row r="22" spans="1:22" x14ac:dyDescent="0.35">
      <c r="A22" s="45" t="str">
        <f>IF('Risk Register'!A22="","",Methodology!$B$4)</f>
        <v/>
      </c>
      <c r="B22" s="37" t="str">
        <f t="shared" si="0"/>
        <v/>
      </c>
      <c r="C22" s="38" t="str">
        <f>IF($A22="","",'Risk Register'!A22)</f>
        <v/>
      </c>
      <c r="D22" s="44" t="str">
        <f>IF($A22="","",'Risk Register'!B22)</f>
        <v/>
      </c>
      <c r="E22" s="38" t="str">
        <f>IF($A22="","",'Risk Register'!D22)</f>
        <v/>
      </c>
      <c r="F22" s="38" t="str">
        <f>IF($A22="","",'Risk Register'!E22)</f>
        <v/>
      </c>
      <c r="G22" s="37" t="str">
        <f>IF($A22="","",'Risk Register'!H22)</f>
        <v/>
      </c>
      <c r="H22" s="37" t="str">
        <f>IF($A22="","",'Risk Register'!M22)</f>
        <v/>
      </c>
      <c r="I22" s="37" t="str">
        <f>IF($A22="","",'Risk Register'!N22)</f>
        <v/>
      </c>
      <c r="J22" s="37" t="str">
        <f>IF($A22="","",'Risk Register'!O22)</f>
        <v/>
      </c>
      <c r="K22" s="37" t="str">
        <f>IF($A22="","",'Risk Register'!P22)</f>
        <v/>
      </c>
      <c r="L22" s="37" t="str">
        <f>IF($A22="","",'Risk Register'!S22)</f>
        <v/>
      </c>
      <c r="M22" s="37" t="str">
        <f>IF($A22="","",'Risk Register'!T22)</f>
        <v/>
      </c>
      <c r="N22" s="38" t="str">
        <f>IF($A22="","",'Risk Register'!U22)</f>
        <v/>
      </c>
      <c r="O22" s="38" t="str">
        <f>IF($A22="","",'Risk Register'!Y22)</f>
        <v/>
      </c>
      <c r="P22" s="38" t="str">
        <f>IF($A22="","",'Risk Register'!J22&amp;"")</f>
        <v/>
      </c>
      <c r="Q22" s="37" t="str">
        <f>IF($A22="","",'RCM Summary'!J22)</f>
        <v/>
      </c>
      <c r="R22" s="37" t="str">
        <f>IF($A22="","",'Risk Register'!AC22)</f>
        <v/>
      </c>
      <c r="S22" s="37" t="str">
        <f>IF($A22="","",'Risk Register'!AD22)</f>
        <v/>
      </c>
      <c r="T22" s="45" t="str">
        <f>IF($A22="","",'Risk Register'!X22)</f>
        <v/>
      </c>
      <c r="U22" s="37" t="str">
        <f>IF($A22="","",IFERROR(INDEX(Appetite!$J$6:$J$17,MATCH('Risk Register'!D22,Appetite!$A$6:$A$17,0)),""))</f>
        <v/>
      </c>
      <c r="V22" s="38" t="str">
        <f>IF($A22="","",'Risk Register'!AK22)</f>
        <v/>
      </c>
    </row>
    <row r="23" spans="1:22" x14ac:dyDescent="0.35">
      <c r="A23" s="45" t="str">
        <f>IF('Risk Register'!A23="","",Methodology!$B$4)</f>
        <v/>
      </c>
      <c r="B23" s="37" t="str">
        <f t="shared" si="0"/>
        <v/>
      </c>
      <c r="C23" s="38" t="str">
        <f>IF($A23="","",'Risk Register'!A23)</f>
        <v/>
      </c>
      <c r="D23" s="44" t="str">
        <f>IF($A23="","",'Risk Register'!B23)</f>
        <v/>
      </c>
      <c r="E23" s="38" t="str">
        <f>IF($A23="","",'Risk Register'!D23)</f>
        <v/>
      </c>
      <c r="F23" s="38" t="str">
        <f>IF($A23="","",'Risk Register'!E23)</f>
        <v/>
      </c>
      <c r="G23" s="37" t="str">
        <f>IF($A23="","",'Risk Register'!H23)</f>
        <v/>
      </c>
      <c r="H23" s="37" t="str">
        <f>IF($A23="","",'Risk Register'!M23)</f>
        <v/>
      </c>
      <c r="I23" s="37" t="str">
        <f>IF($A23="","",'Risk Register'!N23)</f>
        <v/>
      </c>
      <c r="J23" s="37" t="str">
        <f>IF($A23="","",'Risk Register'!O23)</f>
        <v/>
      </c>
      <c r="K23" s="37" t="str">
        <f>IF($A23="","",'Risk Register'!P23)</f>
        <v/>
      </c>
      <c r="L23" s="37" t="str">
        <f>IF($A23="","",'Risk Register'!S23)</f>
        <v/>
      </c>
      <c r="M23" s="37" t="str">
        <f>IF($A23="","",'Risk Register'!T23)</f>
        <v/>
      </c>
      <c r="N23" s="38" t="str">
        <f>IF($A23="","",'Risk Register'!U23)</f>
        <v/>
      </c>
      <c r="O23" s="38" t="str">
        <f>IF($A23="","",'Risk Register'!Y23)</f>
        <v/>
      </c>
      <c r="P23" s="38" t="str">
        <f>IF($A23="","",'Risk Register'!J23&amp;"")</f>
        <v/>
      </c>
      <c r="Q23" s="37" t="str">
        <f>IF($A23="","",'RCM Summary'!J23)</f>
        <v/>
      </c>
      <c r="R23" s="37" t="str">
        <f>IF($A23="","",'Risk Register'!AC23)</f>
        <v/>
      </c>
      <c r="S23" s="37" t="str">
        <f>IF($A23="","",'Risk Register'!AD23)</f>
        <v/>
      </c>
      <c r="T23" s="45" t="str">
        <f>IF($A23="","",'Risk Register'!X23)</f>
        <v/>
      </c>
      <c r="U23" s="37" t="str">
        <f>IF($A23="","",IFERROR(INDEX(Appetite!$J$6:$J$17,MATCH('Risk Register'!D23,Appetite!$A$6:$A$17,0)),""))</f>
        <v/>
      </c>
      <c r="V23" s="38" t="str">
        <f>IF($A23="","",'Risk Register'!AK23)</f>
        <v/>
      </c>
    </row>
    <row r="24" spans="1:22" x14ac:dyDescent="0.35">
      <c r="A24" s="45" t="str">
        <f>IF('Risk Register'!A24="","",Methodology!$B$4)</f>
        <v/>
      </c>
      <c r="B24" s="37" t="str">
        <f t="shared" si="0"/>
        <v/>
      </c>
      <c r="C24" s="38" t="str">
        <f>IF($A24="","",'Risk Register'!A24)</f>
        <v/>
      </c>
      <c r="D24" s="44" t="str">
        <f>IF($A24="","",'Risk Register'!B24)</f>
        <v/>
      </c>
      <c r="E24" s="38" t="str">
        <f>IF($A24="","",'Risk Register'!D24)</f>
        <v/>
      </c>
      <c r="F24" s="38" t="str">
        <f>IF($A24="","",'Risk Register'!E24)</f>
        <v/>
      </c>
      <c r="G24" s="37" t="str">
        <f>IF($A24="","",'Risk Register'!H24)</f>
        <v/>
      </c>
      <c r="H24" s="37" t="str">
        <f>IF($A24="","",'Risk Register'!M24)</f>
        <v/>
      </c>
      <c r="I24" s="37" t="str">
        <f>IF($A24="","",'Risk Register'!N24)</f>
        <v/>
      </c>
      <c r="J24" s="37" t="str">
        <f>IF($A24="","",'Risk Register'!O24)</f>
        <v/>
      </c>
      <c r="K24" s="37" t="str">
        <f>IF($A24="","",'Risk Register'!P24)</f>
        <v/>
      </c>
      <c r="L24" s="37" t="str">
        <f>IF($A24="","",'Risk Register'!S24)</f>
        <v/>
      </c>
      <c r="M24" s="37" t="str">
        <f>IF($A24="","",'Risk Register'!T24)</f>
        <v/>
      </c>
      <c r="N24" s="38" t="str">
        <f>IF($A24="","",'Risk Register'!U24)</f>
        <v/>
      </c>
      <c r="O24" s="38" t="str">
        <f>IF($A24="","",'Risk Register'!Y24)</f>
        <v/>
      </c>
      <c r="P24" s="38" t="str">
        <f>IF($A24="","",'Risk Register'!J24&amp;"")</f>
        <v/>
      </c>
      <c r="Q24" s="37" t="str">
        <f>IF($A24="","",'RCM Summary'!J24)</f>
        <v/>
      </c>
      <c r="R24" s="37" t="str">
        <f>IF($A24="","",'Risk Register'!AC24)</f>
        <v/>
      </c>
      <c r="S24" s="37" t="str">
        <f>IF($A24="","",'Risk Register'!AD24)</f>
        <v/>
      </c>
      <c r="T24" s="45" t="str">
        <f>IF($A24="","",'Risk Register'!X24)</f>
        <v/>
      </c>
      <c r="U24" s="37" t="str">
        <f>IF($A24="","",IFERROR(INDEX(Appetite!$J$6:$J$17,MATCH('Risk Register'!D24,Appetite!$A$6:$A$17,0)),""))</f>
        <v/>
      </c>
      <c r="V24" s="38" t="str">
        <f>IF($A24="","",'Risk Register'!AK24)</f>
        <v/>
      </c>
    </row>
    <row r="25" spans="1:22" x14ac:dyDescent="0.35">
      <c r="A25" s="45" t="str">
        <f>IF('Risk Register'!A25="","",Methodology!$B$4)</f>
        <v/>
      </c>
      <c r="B25" s="37" t="str">
        <f t="shared" si="0"/>
        <v/>
      </c>
      <c r="C25" s="38" t="str">
        <f>IF($A25="","",'Risk Register'!A25)</f>
        <v/>
      </c>
      <c r="D25" s="44" t="str">
        <f>IF($A25="","",'Risk Register'!B25)</f>
        <v/>
      </c>
      <c r="E25" s="38" t="str">
        <f>IF($A25="","",'Risk Register'!D25)</f>
        <v/>
      </c>
      <c r="F25" s="38" t="str">
        <f>IF($A25="","",'Risk Register'!E25)</f>
        <v/>
      </c>
      <c r="G25" s="37" t="str">
        <f>IF($A25="","",'Risk Register'!H25)</f>
        <v/>
      </c>
      <c r="H25" s="37" t="str">
        <f>IF($A25="","",'Risk Register'!M25)</f>
        <v/>
      </c>
      <c r="I25" s="37" t="str">
        <f>IF($A25="","",'Risk Register'!N25)</f>
        <v/>
      </c>
      <c r="J25" s="37" t="str">
        <f>IF($A25="","",'Risk Register'!O25)</f>
        <v/>
      </c>
      <c r="K25" s="37" t="str">
        <f>IF($A25="","",'Risk Register'!P25)</f>
        <v/>
      </c>
      <c r="L25" s="37" t="str">
        <f>IF($A25="","",'Risk Register'!S25)</f>
        <v/>
      </c>
      <c r="M25" s="37" t="str">
        <f>IF($A25="","",'Risk Register'!T25)</f>
        <v/>
      </c>
      <c r="N25" s="38" t="str">
        <f>IF($A25="","",'Risk Register'!U25)</f>
        <v/>
      </c>
      <c r="O25" s="38" t="str">
        <f>IF($A25="","",'Risk Register'!Y25)</f>
        <v/>
      </c>
      <c r="P25" s="38" t="str">
        <f>IF($A25="","",'Risk Register'!J25&amp;"")</f>
        <v/>
      </c>
      <c r="Q25" s="37" t="str">
        <f>IF($A25="","",'RCM Summary'!J25)</f>
        <v/>
      </c>
      <c r="R25" s="37" t="str">
        <f>IF($A25="","",'Risk Register'!AC25)</f>
        <v/>
      </c>
      <c r="S25" s="37" t="str">
        <f>IF($A25="","",'Risk Register'!AD25)</f>
        <v/>
      </c>
      <c r="T25" s="45" t="str">
        <f>IF($A25="","",'Risk Register'!X25)</f>
        <v/>
      </c>
      <c r="U25" s="37" t="str">
        <f>IF($A25="","",IFERROR(INDEX(Appetite!$J$6:$J$17,MATCH('Risk Register'!D25,Appetite!$A$6:$A$17,0)),""))</f>
        <v/>
      </c>
      <c r="V25" s="38" t="str">
        <f>IF($A25="","",'Risk Register'!AK25)</f>
        <v/>
      </c>
    </row>
    <row r="26" spans="1:22" x14ac:dyDescent="0.35">
      <c r="A26" s="45" t="str">
        <f>IF('Risk Register'!A26="","",Methodology!$B$4)</f>
        <v/>
      </c>
      <c r="B26" s="37" t="str">
        <f t="shared" si="0"/>
        <v/>
      </c>
      <c r="C26" s="38" t="str">
        <f>IF($A26="","",'Risk Register'!A26)</f>
        <v/>
      </c>
      <c r="D26" s="44" t="str">
        <f>IF($A26="","",'Risk Register'!B26)</f>
        <v/>
      </c>
      <c r="E26" s="38" t="str">
        <f>IF($A26="","",'Risk Register'!D26)</f>
        <v/>
      </c>
      <c r="F26" s="38" t="str">
        <f>IF($A26="","",'Risk Register'!E26)</f>
        <v/>
      </c>
      <c r="G26" s="37" t="str">
        <f>IF($A26="","",'Risk Register'!H26)</f>
        <v/>
      </c>
      <c r="H26" s="37" t="str">
        <f>IF($A26="","",'Risk Register'!M26)</f>
        <v/>
      </c>
      <c r="I26" s="37" t="str">
        <f>IF($A26="","",'Risk Register'!N26)</f>
        <v/>
      </c>
      <c r="J26" s="37" t="str">
        <f>IF($A26="","",'Risk Register'!O26)</f>
        <v/>
      </c>
      <c r="K26" s="37" t="str">
        <f>IF($A26="","",'Risk Register'!P26)</f>
        <v/>
      </c>
      <c r="L26" s="37" t="str">
        <f>IF($A26="","",'Risk Register'!S26)</f>
        <v/>
      </c>
      <c r="M26" s="37" t="str">
        <f>IF($A26="","",'Risk Register'!T26)</f>
        <v/>
      </c>
      <c r="N26" s="38" t="str">
        <f>IF($A26="","",'Risk Register'!U26)</f>
        <v/>
      </c>
      <c r="O26" s="38" t="str">
        <f>IF($A26="","",'Risk Register'!Y26)</f>
        <v/>
      </c>
      <c r="P26" s="38" t="str">
        <f>IF($A26="","",'Risk Register'!J26&amp;"")</f>
        <v/>
      </c>
      <c r="Q26" s="37" t="str">
        <f>IF($A26="","",'RCM Summary'!J26)</f>
        <v/>
      </c>
      <c r="R26" s="37" t="str">
        <f>IF($A26="","",'Risk Register'!AC26)</f>
        <v/>
      </c>
      <c r="S26" s="37" t="str">
        <f>IF($A26="","",'Risk Register'!AD26)</f>
        <v/>
      </c>
      <c r="T26" s="45" t="str">
        <f>IF($A26="","",'Risk Register'!X26)</f>
        <v/>
      </c>
      <c r="U26" s="37" t="str">
        <f>IF($A26="","",IFERROR(INDEX(Appetite!$J$6:$J$17,MATCH('Risk Register'!D26,Appetite!$A$6:$A$17,0)),""))</f>
        <v/>
      </c>
      <c r="V26" s="38" t="str">
        <f>IF($A26="","",'Risk Register'!AK26)</f>
        <v/>
      </c>
    </row>
    <row r="27" spans="1:22" x14ac:dyDescent="0.35">
      <c r="A27" s="45" t="str">
        <f>IF('Risk Register'!A27="","",Methodology!$B$4)</f>
        <v/>
      </c>
      <c r="B27" s="37" t="str">
        <f t="shared" si="0"/>
        <v/>
      </c>
      <c r="C27" s="38" t="str">
        <f>IF($A27="","",'Risk Register'!A27)</f>
        <v/>
      </c>
      <c r="D27" s="44" t="str">
        <f>IF($A27="","",'Risk Register'!B27)</f>
        <v/>
      </c>
      <c r="E27" s="38" t="str">
        <f>IF($A27="","",'Risk Register'!D27)</f>
        <v/>
      </c>
      <c r="F27" s="38" t="str">
        <f>IF($A27="","",'Risk Register'!E27)</f>
        <v/>
      </c>
      <c r="G27" s="37" t="str">
        <f>IF($A27="","",'Risk Register'!H27)</f>
        <v/>
      </c>
      <c r="H27" s="37" t="str">
        <f>IF($A27="","",'Risk Register'!M27)</f>
        <v/>
      </c>
      <c r="I27" s="37" t="str">
        <f>IF($A27="","",'Risk Register'!N27)</f>
        <v/>
      </c>
      <c r="J27" s="37" t="str">
        <f>IF($A27="","",'Risk Register'!O27)</f>
        <v/>
      </c>
      <c r="K27" s="37" t="str">
        <f>IF($A27="","",'Risk Register'!P27)</f>
        <v/>
      </c>
      <c r="L27" s="37" t="str">
        <f>IF($A27="","",'Risk Register'!S27)</f>
        <v/>
      </c>
      <c r="M27" s="37" t="str">
        <f>IF($A27="","",'Risk Register'!T27)</f>
        <v/>
      </c>
      <c r="N27" s="38" t="str">
        <f>IF($A27="","",'Risk Register'!U27)</f>
        <v/>
      </c>
      <c r="O27" s="38" t="str">
        <f>IF($A27="","",'Risk Register'!Y27)</f>
        <v/>
      </c>
      <c r="P27" s="38" t="str">
        <f>IF($A27="","",'Risk Register'!J27&amp;"")</f>
        <v/>
      </c>
      <c r="Q27" s="37" t="str">
        <f>IF($A27="","",'RCM Summary'!J27)</f>
        <v/>
      </c>
      <c r="R27" s="37" t="str">
        <f>IF($A27="","",'Risk Register'!AC27)</f>
        <v/>
      </c>
      <c r="S27" s="37" t="str">
        <f>IF($A27="","",'Risk Register'!AD27)</f>
        <v/>
      </c>
      <c r="T27" s="45" t="str">
        <f>IF($A27="","",'Risk Register'!X27)</f>
        <v/>
      </c>
      <c r="U27" s="37" t="str">
        <f>IF($A27="","",IFERROR(INDEX(Appetite!$J$6:$J$17,MATCH('Risk Register'!D27,Appetite!$A$6:$A$17,0)),""))</f>
        <v/>
      </c>
      <c r="V27" s="38" t="str">
        <f>IF($A27="","",'Risk Register'!AK27)</f>
        <v/>
      </c>
    </row>
    <row r="28" spans="1:22" x14ac:dyDescent="0.35">
      <c r="A28" s="45" t="str">
        <f>IF('Risk Register'!A28="","",Methodology!$B$4)</f>
        <v/>
      </c>
      <c r="B28" s="37" t="str">
        <f t="shared" si="0"/>
        <v/>
      </c>
      <c r="C28" s="38" t="str">
        <f>IF($A28="","",'Risk Register'!A28)</f>
        <v/>
      </c>
      <c r="D28" s="44" t="str">
        <f>IF($A28="","",'Risk Register'!B28)</f>
        <v/>
      </c>
      <c r="E28" s="38" t="str">
        <f>IF($A28="","",'Risk Register'!D28)</f>
        <v/>
      </c>
      <c r="F28" s="38" t="str">
        <f>IF($A28="","",'Risk Register'!E28)</f>
        <v/>
      </c>
      <c r="G28" s="37" t="str">
        <f>IF($A28="","",'Risk Register'!H28)</f>
        <v/>
      </c>
      <c r="H28" s="37" t="str">
        <f>IF($A28="","",'Risk Register'!M28)</f>
        <v/>
      </c>
      <c r="I28" s="37" t="str">
        <f>IF($A28="","",'Risk Register'!N28)</f>
        <v/>
      </c>
      <c r="J28" s="37" t="str">
        <f>IF($A28="","",'Risk Register'!O28)</f>
        <v/>
      </c>
      <c r="K28" s="37" t="str">
        <f>IF($A28="","",'Risk Register'!P28)</f>
        <v/>
      </c>
      <c r="L28" s="37" t="str">
        <f>IF($A28="","",'Risk Register'!S28)</f>
        <v/>
      </c>
      <c r="M28" s="37" t="str">
        <f>IF($A28="","",'Risk Register'!T28)</f>
        <v/>
      </c>
      <c r="N28" s="38" t="str">
        <f>IF($A28="","",'Risk Register'!U28)</f>
        <v/>
      </c>
      <c r="O28" s="38" t="str">
        <f>IF($A28="","",'Risk Register'!Y28)</f>
        <v/>
      </c>
      <c r="P28" s="38" t="str">
        <f>IF($A28="","",'Risk Register'!J28&amp;"")</f>
        <v/>
      </c>
      <c r="Q28" s="37" t="str">
        <f>IF($A28="","",'RCM Summary'!J28)</f>
        <v/>
      </c>
      <c r="R28" s="37" t="str">
        <f>IF($A28="","",'Risk Register'!AC28)</f>
        <v/>
      </c>
      <c r="S28" s="37" t="str">
        <f>IF($A28="","",'Risk Register'!AD28)</f>
        <v/>
      </c>
      <c r="T28" s="45" t="str">
        <f>IF($A28="","",'Risk Register'!X28)</f>
        <v/>
      </c>
      <c r="U28" s="37" t="str">
        <f>IF($A28="","",IFERROR(INDEX(Appetite!$J$6:$J$17,MATCH('Risk Register'!D28,Appetite!$A$6:$A$17,0)),""))</f>
        <v/>
      </c>
      <c r="V28" s="38" t="str">
        <f>IF($A28="","",'Risk Register'!AK28)</f>
        <v/>
      </c>
    </row>
    <row r="29" spans="1:22" x14ac:dyDescent="0.35">
      <c r="A29" s="45" t="str">
        <f>IF('Risk Register'!A29="","",Methodology!$B$4)</f>
        <v/>
      </c>
      <c r="B29" s="37" t="str">
        <f t="shared" si="0"/>
        <v/>
      </c>
      <c r="C29" s="38" t="str">
        <f>IF($A29="","",'Risk Register'!A29)</f>
        <v/>
      </c>
      <c r="D29" s="44" t="str">
        <f>IF($A29="","",'Risk Register'!B29)</f>
        <v/>
      </c>
      <c r="E29" s="38" t="str">
        <f>IF($A29="","",'Risk Register'!D29)</f>
        <v/>
      </c>
      <c r="F29" s="38" t="str">
        <f>IF($A29="","",'Risk Register'!E29)</f>
        <v/>
      </c>
      <c r="G29" s="37" t="str">
        <f>IF($A29="","",'Risk Register'!H29)</f>
        <v/>
      </c>
      <c r="H29" s="37" t="str">
        <f>IF($A29="","",'Risk Register'!M29)</f>
        <v/>
      </c>
      <c r="I29" s="37" t="str">
        <f>IF($A29="","",'Risk Register'!N29)</f>
        <v/>
      </c>
      <c r="J29" s="37" t="str">
        <f>IF($A29="","",'Risk Register'!O29)</f>
        <v/>
      </c>
      <c r="K29" s="37" t="str">
        <f>IF($A29="","",'Risk Register'!P29)</f>
        <v/>
      </c>
      <c r="L29" s="37" t="str">
        <f>IF($A29="","",'Risk Register'!S29)</f>
        <v/>
      </c>
      <c r="M29" s="37" t="str">
        <f>IF($A29="","",'Risk Register'!T29)</f>
        <v/>
      </c>
      <c r="N29" s="38" t="str">
        <f>IF($A29="","",'Risk Register'!U29)</f>
        <v/>
      </c>
      <c r="O29" s="38" t="str">
        <f>IF($A29="","",'Risk Register'!Y29)</f>
        <v/>
      </c>
      <c r="P29" s="38" t="str">
        <f>IF($A29="","",'Risk Register'!J29&amp;"")</f>
        <v/>
      </c>
      <c r="Q29" s="37" t="str">
        <f>IF($A29="","",'RCM Summary'!J29)</f>
        <v/>
      </c>
      <c r="R29" s="37" t="str">
        <f>IF($A29="","",'Risk Register'!AC29)</f>
        <v/>
      </c>
      <c r="S29" s="37" t="str">
        <f>IF($A29="","",'Risk Register'!AD29)</f>
        <v/>
      </c>
      <c r="T29" s="45" t="str">
        <f>IF($A29="","",'Risk Register'!X29)</f>
        <v/>
      </c>
      <c r="U29" s="37" t="str">
        <f>IF($A29="","",IFERROR(INDEX(Appetite!$J$6:$J$17,MATCH('Risk Register'!D29,Appetite!$A$6:$A$17,0)),""))</f>
        <v/>
      </c>
      <c r="V29" s="38" t="str">
        <f>IF($A29="","",'Risk Register'!AK29)</f>
        <v/>
      </c>
    </row>
    <row r="30" spans="1:22" x14ac:dyDescent="0.35">
      <c r="A30" s="45" t="str">
        <f>IF('Risk Register'!A30="","",Methodology!$B$4)</f>
        <v/>
      </c>
      <c r="B30" s="37" t="str">
        <f t="shared" si="0"/>
        <v/>
      </c>
      <c r="C30" s="38" t="str">
        <f>IF($A30="","",'Risk Register'!A30)</f>
        <v/>
      </c>
      <c r="D30" s="44" t="str">
        <f>IF($A30="","",'Risk Register'!B30)</f>
        <v/>
      </c>
      <c r="E30" s="38" t="str">
        <f>IF($A30="","",'Risk Register'!D30)</f>
        <v/>
      </c>
      <c r="F30" s="38" t="str">
        <f>IF($A30="","",'Risk Register'!E30)</f>
        <v/>
      </c>
      <c r="G30" s="37" t="str">
        <f>IF($A30="","",'Risk Register'!H30)</f>
        <v/>
      </c>
      <c r="H30" s="37" t="str">
        <f>IF($A30="","",'Risk Register'!M30)</f>
        <v/>
      </c>
      <c r="I30" s="37" t="str">
        <f>IF($A30="","",'Risk Register'!N30)</f>
        <v/>
      </c>
      <c r="J30" s="37" t="str">
        <f>IF($A30="","",'Risk Register'!O30)</f>
        <v/>
      </c>
      <c r="K30" s="37" t="str">
        <f>IF($A30="","",'Risk Register'!P30)</f>
        <v/>
      </c>
      <c r="L30" s="37" t="str">
        <f>IF($A30="","",'Risk Register'!S30)</f>
        <v/>
      </c>
      <c r="M30" s="37" t="str">
        <f>IF($A30="","",'Risk Register'!T30)</f>
        <v/>
      </c>
      <c r="N30" s="38" t="str">
        <f>IF($A30="","",'Risk Register'!U30)</f>
        <v/>
      </c>
      <c r="O30" s="38" t="str">
        <f>IF($A30="","",'Risk Register'!Y30)</f>
        <v/>
      </c>
      <c r="P30" s="38" t="str">
        <f>IF($A30="","",'Risk Register'!J30&amp;"")</f>
        <v/>
      </c>
      <c r="Q30" s="37" t="str">
        <f>IF($A30="","",'RCM Summary'!J30)</f>
        <v/>
      </c>
      <c r="R30" s="37" t="str">
        <f>IF($A30="","",'Risk Register'!AC30)</f>
        <v/>
      </c>
      <c r="S30" s="37" t="str">
        <f>IF($A30="","",'Risk Register'!AD30)</f>
        <v/>
      </c>
      <c r="T30" s="45" t="str">
        <f>IF($A30="","",'Risk Register'!X30)</f>
        <v/>
      </c>
      <c r="U30" s="37" t="str">
        <f>IF($A30="","",IFERROR(INDEX(Appetite!$J$6:$J$17,MATCH('Risk Register'!D30,Appetite!$A$6:$A$17,0)),""))</f>
        <v/>
      </c>
      <c r="V30" s="38" t="str">
        <f>IF($A30="","",'Risk Register'!AK30)</f>
        <v/>
      </c>
    </row>
    <row r="31" spans="1:22" x14ac:dyDescent="0.35">
      <c r="A31" s="45" t="str">
        <f>IF('Risk Register'!A31="","",Methodology!$B$4)</f>
        <v/>
      </c>
      <c r="B31" s="37" t="str">
        <f t="shared" si="0"/>
        <v/>
      </c>
      <c r="C31" s="38" t="str">
        <f>IF($A31="","",'Risk Register'!A31)</f>
        <v/>
      </c>
      <c r="D31" s="44" t="str">
        <f>IF($A31="","",'Risk Register'!B31)</f>
        <v/>
      </c>
      <c r="E31" s="38" t="str">
        <f>IF($A31="","",'Risk Register'!D31)</f>
        <v/>
      </c>
      <c r="F31" s="38" t="str">
        <f>IF($A31="","",'Risk Register'!E31)</f>
        <v/>
      </c>
      <c r="G31" s="37" t="str">
        <f>IF($A31="","",'Risk Register'!H31)</f>
        <v/>
      </c>
      <c r="H31" s="37" t="str">
        <f>IF($A31="","",'Risk Register'!M31)</f>
        <v/>
      </c>
      <c r="I31" s="37" t="str">
        <f>IF($A31="","",'Risk Register'!N31)</f>
        <v/>
      </c>
      <c r="J31" s="37" t="str">
        <f>IF($A31="","",'Risk Register'!O31)</f>
        <v/>
      </c>
      <c r="K31" s="37" t="str">
        <f>IF($A31="","",'Risk Register'!P31)</f>
        <v/>
      </c>
      <c r="L31" s="37" t="str">
        <f>IF($A31="","",'Risk Register'!S31)</f>
        <v/>
      </c>
      <c r="M31" s="37" t="str">
        <f>IF($A31="","",'Risk Register'!T31)</f>
        <v/>
      </c>
      <c r="N31" s="38" t="str">
        <f>IF($A31="","",'Risk Register'!U31)</f>
        <v/>
      </c>
      <c r="O31" s="38" t="str">
        <f>IF($A31="","",'Risk Register'!Y31)</f>
        <v/>
      </c>
      <c r="P31" s="38" t="str">
        <f>IF($A31="","",'Risk Register'!J31&amp;"")</f>
        <v/>
      </c>
      <c r="Q31" s="37" t="str">
        <f>IF($A31="","",'RCM Summary'!J31)</f>
        <v/>
      </c>
      <c r="R31" s="37" t="str">
        <f>IF($A31="","",'Risk Register'!AC31)</f>
        <v/>
      </c>
      <c r="S31" s="37" t="str">
        <f>IF($A31="","",'Risk Register'!AD31)</f>
        <v/>
      </c>
      <c r="T31" s="45" t="str">
        <f>IF($A31="","",'Risk Register'!X31)</f>
        <v/>
      </c>
      <c r="U31" s="37" t="str">
        <f>IF($A31="","",IFERROR(INDEX(Appetite!$J$6:$J$17,MATCH('Risk Register'!D31,Appetite!$A$6:$A$17,0)),""))</f>
        <v/>
      </c>
      <c r="V31" s="38" t="str">
        <f>IF($A31="","",'Risk Register'!AK31)</f>
        <v/>
      </c>
    </row>
    <row r="32" spans="1:22" x14ac:dyDescent="0.35">
      <c r="A32" s="45" t="str">
        <f>IF('Risk Register'!A32="","",Methodology!$B$4)</f>
        <v/>
      </c>
      <c r="B32" s="37" t="str">
        <f t="shared" si="0"/>
        <v/>
      </c>
      <c r="C32" s="38" t="str">
        <f>IF($A32="","",'Risk Register'!A32)</f>
        <v/>
      </c>
      <c r="D32" s="44" t="str">
        <f>IF($A32="","",'Risk Register'!B32)</f>
        <v/>
      </c>
      <c r="E32" s="38" t="str">
        <f>IF($A32="","",'Risk Register'!D32)</f>
        <v/>
      </c>
      <c r="F32" s="38" t="str">
        <f>IF($A32="","",'Risk Register'!E32)</f>
        <v/>
      </c>
      <c r="G32" s="37" t="str">
        <f>IF($A32="","",'Risk Register'!H32)</f>
        <v/>
      </c>
      <c r="H32" s="37" t="str">
        <f>IF($A32="","",'Risk Register'!M32)</f>
        <v/>
      </c>
      <c r="I32" s="37" t="str">
        <f>IF($A32="","",'Risk Register'!N32)</f>
        <v/>
      </c>
      <c r="J32" s="37" t="str">
        <f>IF($A32="","",'Risk Register'!O32)</f>
        <v/>
      </c>
      <c r="K32" s="37" t="str">
        <f>IF($A32="","",'Risk Register'!P32)</f>
        <v/>
      </c>
      <c r="L32" s="37" t="str">
        <f>IF($A32="","",'Risk Register'!S32)</f>
        <v/>
      </c>
      <c r="M32" s="37" t="str">
        <f>IF($A32="","",'Risk Register'!T32)</f>
        <v/>
      </c>
      <c r="N32" s="38" t="str">
        <f>IF($A32="","",'Risk Register'!U32)</f>
        <v/>
      </c>
      <c r="O32" s="38" t="str">
        <f>IF($A32="","",'Risk Register'!Y32)</f>
        <v/>
      </c>
      <c r="P32" s="38" t="str">
        <f>IF($A32="","",'Risk Register'!J32&amp;"")</f>
        <v/>
      </c>
      <c r="Q32" s="37" t="str">
        <f>IF($A32="","",'RCM Summary'!J32)</f>
        <v/>
      </c>
      <c r="R32" s="37" t="str">
        <f>IF($A32="","",'Risk Register'!AC32)</f>
        <v/>
      </c>
      <c r="S32" s="37" t="str">
        <f>IF($A32="","",'Risk Register'!AD32)</f>
        <v/>
      </c>
      <c r="T32" s="45" t="str">
        <f>IF($A32="","",'Risk Register'!X32)</f>
        <v/>
      </c>
      <c r="U32" s="37" t="str">
        <f>IF($A32="","",IFERROR(INDEX(Appetite!$J$6:$J$17,MATCH('Risk Register'!D32,Appetite!$A$6:$A$17,0)),""))</f>
        <v/>
      </c>
      <c r="V32" s="38" t="str">
        <f>IF($A32="","",'Risk Register'!AK32)</f>
        <v/>
      </c>
    </row>
    <row r="33" spans="1:22" x14ac:dyDescent="0.35">
      <c r="A33" s="45" t="str">
        <f>IF('Risk Register'!A33="","",Methodology!$B$4)</f>
        <v/>
      </c>
      <c r="B33" s="37" t="str">
        <f t="shared" si="0"/>
        <v/>
      </c>
      <c r="C33" s="38" t="str">
        <f>IF($A33="","",'Risk Register'!A33)</f>
        <v/>
      </c>
      <c r="D33" s="44" t="str">
        <f>IF($A33="","",'Risk Register'!B33)</f>
        <v/>
      </c>
      <c r="E33" s="38" t="str">
        <f>IF($A33="","",'Risk Register'!D33)</f>
        <v/>
      </c>
      <c r="F33" s="38" t="str">
        <f>IF($A33="","",'Risk Register'!E33)</f>
        <v/>
      </c>
      <c r="G33" s="37" t="str">
        <f>IF($A33="","",'Risk Register'!H33)</f>
        <v/>
      </c>
      <c r="H33" s="37" t="str">
        <f>IF($A33="","",'Risk Register'!M33)</f>
        <v/>
      </c>
      <c r="I33" s="37" t="str">
        <f>IF($A33="","",'Risk Register'!N33)</f>
        <v/>
      </c>
      <c r="J33" s="37" t="str">
        <f>IF($A33="","",'Risk Register'!O33)</f>
        <v/>
      </c>
      <c r="K33" s="37" t="str">
        <f>IF($A33="","",'Risk Register'!P33)</f>
        <v/>
      </c>
      <c r="L33" s="37" t="str">
        <f>IF($A33="","",'Risk Register'!S33)</f>
        <v/>
      </c>
      <c r="M33" s="37" t="str">
        <f>IF($A33="","",'Risk Register'!T33)</f>
        <v/>
      </c>
      <c r="N33" s="38" t="str">
        <f>IF($A33="","",'Risk Register'!U33)</f>
        <v/>
      </c>
      <c r="O33" s="38" t="str">
        <f>IF($A33="","",'Risk Register'!Y33)</f>
        <v/>
      </c>
      <c r="P33" s="38" t="str">
        <f>IF($A33="","",'Risk Register'!J33&amp;"")</f>
        <v/>
      </c>
      <c r="Q33" s="37" t="str">
        <f>IF($A33="","",'RCM Summary'!J33)</f>
        <v/>
      </c>
      <c r="R33" s="37" t="str">
        <f>IF($A33="","",'Risk Register'!AC33)</f>
        <v/>
      </c>
      <c r="S33" s="37" t="str">
        <f>IF($A33="","",'Risk Register'!AD33)</f>
        <v/>
      </c>
      <c r="T33" s="45" t="str">
        <f>IF($A33="","",'Risk Register'!X33)</f>
        <v/>
      </c>
      <c r="U33" s="37" t="str">
        <f>IF($A33="","",IFERROR(INDEX(Appetite!$J$6:$J$17,MATCH('Risk Register'!D33,Appetite!$A$6:$A$17,0)),""))</f>
        <v/>
      </c>
      <c r="V33" s="38" t="str">
        <f>IF($A33="","",'Risk Register'!AK33)</f>
        <v/>
      </c>
    </row>
    <row r="34" spans="1:22" x14ac:dyDescent="0.35">
      <c r="A34" s="45" t="str">
        <f>IF('Risk Register'!A34="","",Methodology!$B$4)</f>
        <v/>
      </c>
      <c r="B34" s="37" t="str">
        <f t="shared" si="0"/>
        <v/>
      </c>
      <c r="C34" s="38" t="str">
        <f>IF($A34="","",'Risk Register'!A34)</f>
        <v/>
      </c>
      <c r="D34" s="44" t="str">
        <f>IF($A34="","",'Risk Register'!B34)</f>
        <v/>
      </c>
      <c r="E34" s="38" t="str">
        <f>IF($A34="","",'Risk Register'!D34)</f>
        <v/>
      </c>
      <c r="F34" s="38" t="str">
        <f>IF($A34="","",'Risk Register'!E34)</f>
        <v/>
      </c>
      <c r="G34" s="37" t="str">
        <f>IF($A34="","",'Risk Register'!H34)</f>
        <v/>
      </c>
      <c r="H34" s="37" t="str">
        <f>IF($A34="","",'Risk Register'!M34)</f>
        <v/>
      </c>
      <c r="I34" s="37" t="str">
        <f>IF($A34="","",'Risk Register'!N34)</f>
        <v/>
      </c>
      <c r="J34" s="37" t="str">
        <f>IF($A34="","",'Risk Register'!O34)</f>
        <v/>
      </c>
      <c r="K34" s="37" t="str">
        <f>IF($A34="","",'Risk Register'!P34)</f>
        <v/>
      </c>
      <c r="L34" s="37" t="str">
        <f>IF($A34="","",'Risk Register'!S34)</f>
        <v/>
      </c>
      <c r="M34" s="37" t="str">
        <f>IF($A34="","",'Risk Register'!T34)</f>
        <v/>
      </c>
      <c r="N34" s="38" t="str">
        <f>IF($A34="","",'Risk Register'!U34)</f>
        <v/>
      </c>
      <c r="O34" s="38" t="str">
        <f>IF($A34="","",'Risk Register'!Y34)</f>
        <v/>
      </c>
      <c r="P34" s="38" t="str">
        <f>IF($A34="","",'Risk Register'!J34&amp;"")</f>
        <v/>
      </c>
      <c r="Q34" s="37" t="str">
        <f>IF($A34="","",'RCM Summary'!J34)</f>
        <v/>
      </c>
      <c r="R34" s="37" t="str">
        <f>IF($A34="","",'Risk Register'!AC34)</f>
        <v/>
      </c>
      <c r="S34" s="37" t="str">
        <f>IF($A34="","",'Risk Register'!AD34)</f>
        <v/>
      </c>
      <c r="T34" s="45" t="str">
        <f>IF($A34="","",'Risk Register'!X34)</f>
        <v/>
      </c>
      <c r="U34" s="37" t="str">
        <f>IF($A34="","",IFERROR(INDEX(Appetite!$J$6:$J$17,MATCH('Risk Register'!D34,Appetite!$A$6:$A$17,0)),""))</f>
        <v/>
      </c>
      <c r="V34" s="38" t="str">
        <f>IF($A34="","",'Risk Register'!AK34)</f>
        <v/>
      </c>
    </row>
    <row r="35" spans="1:22" x14ac:dyDescent="0.35">
      <c r="A35" s="45" t="str">
        <f>IF('Risk Register'!A35="","",Methodology!$B$4)</f>
        <v/>
      </c>
      <c r="B35" s="37" t="str">
        <f t="shared" si="0"/>
        <v/>
      </c>
      <c r="C35" s="38" t="str">
        <f>IF($A35="","",'Risk Register'!A35)</f>
        <v/>
      </c>
      <c r="D35" s="44" t="str">
        <f>IF($A35="","",'Risk Register'!B35)</f>
        <v/>
      </c>
      <c r="E35" s="38" t="str">
        <f>IF($A35="","",'Risk Register'!D35)</f>
        <v/>
      </c>
      <c r="F35" s="38" t="str">
        <f>IF($A35="","",'Risk Register'!E35)</f>
        <v/>
      </c>
      <c r="G35" s="37" t="str">
        <f>IF($A35="","",'Risk Register'!H35)</f>
        <v/>
      </c>
      <c r="H35" s="37" t="str">
        <f>IF($A35="","",'Risk Register'!M35)</f>
        <v/>
      </c>
      <c r="I35" s="37" t="str">
        <f>IF($A35="","",'Risk Register'!N35)</f>
        <v/>
      </c>
      <c r="J35" s="37" t="str">
        <f>IF($A35="","",'Risk Register'!O35)</f>
        <v/>
      </c>
      <c r="K35" s="37" t="str">
        <f>IF($A35="","",'Risk Register'!P35)</f>
        <v/>
      </c>
      <c r="L35" s="37" t="str">
        <f>IF($A35="","",'Risk Register'!S35)</f>
        <v/>
      </c>
      <c r="M35" s="37" t="str">
        <f>IF($A35="","",'Risk Register'!T35)</f>
        <v/>
      </c>
      <c r="N35" s="38" t="str">
        <f>IF($A35="","",'Risk Register'!U35)</f>
        <v/>
      </c>
      <c r="O35" s="38" t="str">
        <f>IF($A35="","",'Risk Register'!Y35)</f>
        <v/>
      </c>
      <c r="P35" s="38" t="str">
        <f>IF($A35="","",'Risk Register'!J35&amp;"")</f>
        <v/>
      </c>
      <c r="Q35" s="37" t="str">
        <f>IF($A35="","",'RCM Summary'!J35)</f>
        <v/>
      </c>
      <c r="R35" s="37" t="str">
        <f>IF($A35="","",'Risk Register'!AC35)</f>
        <v/>
      </c>
      <c r="S35" s="37" t="str">
        <f>IF($A35="","",'Risk Register'!AD35)</f>
        <v/>
      </c>
      <c r="T35" s="45" t="str">
        <f>IF($A35="","",'Risk Register'!X35)</f>
        <v/>
      </c>
      <c r="U35" s="37" t="str">
        <f>IF($A35="","",IFERROR(INDEX(Appetite!$J$6:$J$17,MATCH('Risk Register'!D35,Appetite!$A$6:$A$17,0)),""))</f>
        <v/>
      </c>
      <c r="V35" s="38" t="str">
        <f>IF($A35="","",'Risk Register'!AK35)</f>
        <v/>
      </c>
    </row>
    <row r="36" spans="1:22" x14ac:dyDescent="0.35">
      <c r="A36" s="45" t="str">
        <f>IF('Risk Register'!A36="","",Methodology!$B$4)</f>
        <v/>
      </c>
      <c r="B36" s="37" t="str">
        <f t="shared" si="0"/>
        <v/>
      </c>
      <c r="C36" s="38" t="str">
        <f>IF($A36="","",'Risk Register'!A36)</f>
        <v/>
      </c>
      <c r="D36" s="44" t="str">
        <f>IF($A36="","",'Risk Register'!B36)</f>
        <v/>
      </c>
      <c r="E36" s="38" t="str">
        <f>IF($A36="","",'Risk Register'!D36)</f>
        <v/>
      </c>
      <c r="F36" s="38" t="str">
        <f>IF($A36="","",'Risk Register'!E36)</f>
        <v/>
      </c>
      <c r="G36" s="37" t="str">
        <f>IF($A36="","",'Risk Register'!H36)</f>
        <v/>
      </c>
      <c r="H36" s="37" t="str">
        <f>IF($A36="","",'Risk Register'!M36)</f>
        <v/>
      </c>
      <c r="I36" s="37" t="str">
        <f>IF($A36="","",'Risk Register'!N36)</f>
        <v/>
      </c>
      <c r="J36" s="37" t="str">
        <f>IF($A36="","",'Risk Register'!O36)</f>
        <v/>
      </c>
      <c r="K36" s="37" t="str">
        <f>IF($A36="","",'Risk Register'!P36)</f>
        <v/>
      </c>
      <c r="L36" s="37" t="str">
        <f>IF($A36="","",'Risk Register'!S36)</f>
        <v/>
      </c>
      <c r="M36" s="37" t="str">
        <f>IF($A36="","",'Risk Register'!T36)</f>
        <v/>
      </c>
      <c r="N36" s="38" t="str">
        <f>IF($A36="","",'Risk Register'!U36)</f>
        <v/>
      </c>
      <c r="O36" s="38" t="str">
        <f>IF($A36="","",'Risk Register'!Y36)</f>
        <v/>
      </c>
      <c r="P36" s="38" t="str">
        <f>IF($A36="","",'Risk Register'!J36&amp;"")</f>
        <v/>
      </c>
      <c r="Q36" s="37" t="str">
        <f>IF($A36="","",'RCM Summary'!J36)</f>
        <v/>
      </c>
      <c r="R36" s="37" t="str">
        <f>IF($A36="","",'Risk Register'!AC36)</f>
        <v/>
      </c>
      <c r="S36" s="37" t="str">
        <f>IF($A36="","",'Risk Register'!AD36)</f>
        <v/>
      </c>
      <c r="T36" s="45" t="str">
        <f>IF($A36="","",'Risk Register'!X36)</f>
        <v/>
      </c>
      <c r="U36" s="37" t="str">
        <f>IF($A36="","",IFERROR(INDEX(Appetite!$J$6:$J$17,MATCH('Risk Register'!D36,Appetite!$A$6:$A$17,0)),""))</f>
        <v/>
      </c>
      <c r="V36" s="38" t="str">
        <f>IF($A36="","",'Risk Register'!AK36)</f>
        <v/>
      </c>
    </row>
    <row r="37" spans="1:22" x14ac:dyDescent="0.35">
      <c r="A37" s="45" t="str">
        <f>IF('Risk Register'!A37="","",Methodology!$B$4)</f>
        <v/>
      </c>
      <c r="B37" s="37" t="str">
        <f t="shared" si="0"/>
        <v/>
      </c>
      <c r="C37" s="38" t="str">
        <f>IF($A37="","",'Risk Register'!A37)</f>
        <v/>
      </c>
      <c r="D37" s="44" t="str">
        <f>IF($A37="","",'Risk Register'!B37)</f>
        <v/>
      </c>
      <c r="E37" s="38" t="str">
        <f>IF($A37="","",'Risk Register'!D37)</f>
        <v/>
      </c>
      <c r="F37" s="38" t="str">
        <f>IF($A37="","",'Risk Register'!E37)</f>
        <v/>
      </c>
      <c r="G37" s="37" t="str">
        <f>IF($A37="","",'Risk Register'!H37)</f>
        <v/>
      </c>
      <c r="H37" s="37" t="str">
        <f>IF($A37="","",'Risk Register'!M37)</f>
        <v/>
      </c>
      <c r="I37" s="37" t="str">
        <f>IF($A37="","",'Risk Register'!N37)</f>
        <v/>
      </c>
      <c r="J37" s="37" t="str">
        <f>IF($A37="","",'Risk Register'!O37)</f>
        <v/>
      </c>
      <c r="K37" s="37" t="str">
        <f>IF($A37="","",'Risk Register'!P37)</f>
        <v/>
      </c>
      <c r="L37" s="37" t="str">
        <f>IF($A37="","",'Risk Register'!S37)</f>
        <v/>
      </c>
      <c r="M37" s="37" t="str">
        <f>IF($A37="","",'Risk Register'!T37)</f>
        <v/>
      </c>
      <c r="N37" s="38" t="str">
        <f>IF($A37="","",'Risk Register'!U37)</f>
        <v/>
      </c>
      <c r="O37" s="38" t="str">
        <f>IF($A37="","",'Risk Register'!Y37)</f>
        <v/>
      </c>
      <c r="P37" s="38" t="str">
        <f>IF($A37="","",'Risk Register'!J37&amp;"")</f>
        <v/>
      </c>
      <c r="Q37" s="37" t="str">
        <f>IF($A37="","",'RCM Summary'!J37)</f>
        <v/>
      </c>
      <c r="R37" s="37" t="str">
        <f>IF($A37="","",'Risk Register'!AC37)</f>
        <v/>
      </c>
      <c r="S37" s="37" t="str">
        <f>IF($A37="","",'Risk Register'!AD37)</f>
        <v/>
      </c>
      <c r="T37" s="45" t="str">
        <f>IF($A37="","",'Risk Register'!X37)</f>
        <v/>
      </c>
      <c r="U37" s="37" t="str">
        <f>IF($A37="","",IFERROR(INDEX(Appetite!$J$6:$J$17,MATCH('Risk Register'!D37,Appetite!$A$6:$A$17,0)),""))</f>
        <v/>
      </c>
      <c r="V37" s="38" t="str">
        <f>IF($A37="","",'Risk Register'!AK37)</f>
        <v/>
      </c>
    </row>
    <row r="38" spans="1:22" x14ac:dyDescent="0.35">
      <c r="A38" s="45" t="str">
        <f>IF('Risk Register'!A38="","",Methodology!$B$4)</f>
        <v/>
      </c>
      <c r="B38" s="37" t="str">
        <f t="shared" ref="B38:B69" si="1">IF(A38="","",$B$3)</f>
        <v/>
      </c>
      <c r="C38" s="38" t="str">
        <f>IF($A38="","",'Risk Register'!A38)</f>
        <v/>
      </c>
      <c r="D38" s="44" t="str">
        <f>IF($A38="","",'Risk Register'!B38)</f>
        <v/>
      </c>
      <c r="E38" s="38" t="str">
        <f>IF($A38="","",'Risk Register'!D38)</f>
        <v/>
      </c>
      <c r="F38" s="38" t="str">
        <f>IF($A38="","",'Risk Register'!E38)</f>
        <v/>
      </c>
      <c r="G38" s="37" t="str">
        <f>IF($A38="","",'Risk Register'!H38)</f>
        <v/>
      </c>
      <c r="H38" s="37" t="str">
        <f>IF($A38="","",'Risk Register'!M38)</f>
        <v/>
      </c>
      <c r="I38" s="37" t="str">
        <f>IF($A38="","",'Risk Register'!N38)</f>
        <v/>
      </c>
      <c r="J38" s="37" t="str">
        <f>IF($A38="","",'Risk Register'!O38)</f>
        <v/>
      </c>
      <c r="K38" s="37" t="str">
        <f>IF($A38="","",'Risk Register'!P38)</f>
        <v/>
      </c>
      <c r="L38" s="37" t="str">
        <f>IF($A38="","",'Risk Register'!S38)</f>
        <v/>
      </c>
      <c r="M38" s="37" t="str">
        <f>IF($A38="","",'Risk Register'!T38)</f>
        <v/>
      </c>
      <c r="N38" s="38" t="str">
        <f>IF($A38="","",'Risk Register'!U38)</f>
        <v/>
      </c>
      <c r="O38" s="38" t="str">
        <f>IF($A38="","",'Risk Register'!Y38)</f>
        <v/>
      </c>
      <c r="P38" s="38" t="str">
        <f>IF($A38="","",'Risk Register'!J38&amp;"")</f>
        <v/>
      </c>
      <c r="Q38" s="37" t="str">
        <f>IF($A38="","",'RCM Summary'!J38)</f>
        <v/>
      </c>
      <c r="R38" s="37" t="str">
        <f>IF($A38="","",'Risk Register'!AC38)</f>
        <v/>
      </c>
      <c r="S38" s="37" t="str">
        <f>IF($A38="","",'Risk Register'!AD38)</f>
        <v/>
      </c>
      <c r="T38" s="45" t="str">
        <f>IF($A38="","",'Risk Register'!X38)</f>
        <v/>
      </c>
      <c r="U38" s="37" t="str">
        <f>IF($A38="","",IFERROR(INDEX(Appetite!$J$6:$J$17,MATCH('Risk Register'!D38,Appetite!$A$6:$A$17,0)),""))</f>
        <v/>
      </c>
      <c r="V38" s="38" t="str">
        <f>IF($A38="","",'Risk Register'!AK38)</f>
        <v/>
      </c>
    </row>
    <row r="39" spans="1:22" x14ac:dyDescent="0.35">
      <c r="A39" s="45" t="str">
        <f>IF('Risk Register'!A39="","",Methodology!$B$4)</f>
        <v/>
      </c>
      <c r="B39" s="37" t="str">
        <f t="shared" si="1"/>
        <v/>
      </c>
      <c r="C39" s="38" t="str">
        <f>IF($A39="","",'Risk Register'!A39)</f>
        <v/>
      </c>
      <c r="D39" s="44" t="str">
        <f>IF($A39="","",'Risk Register'!B39)</f>
        <v/>
      </c>
      <c r="E39" s="38" t="str">
        <f>IF($A39="","",'Risk Register'!D39)</f>
        <v/>
      </c>
      <c r="F39" s="38" t="str">
        <f>IF($A39="","",'Risk Register'!E39)</f>
        <v/>
      </c>
      <c r="G39" s="37" t="str">
        <f>IF($A39="","",'Risk Register'!H39)</f>
        <v/>
      </c>
      <c r="H39" s="37" t="str">
        <f>IF($A39="","",'Risk Register'!M39)</f>
        <v/>
      </c>
      <c r="I39" s="37" t="str">
        <f>IF($A39="","",'Risk Register'!N39)</f>
        <v/>
      </c>
      <c r="J39" s="37" t="str">
        <f>IF($A39="","",'Risk Register'!O39)</f>
        <v/>
      </c>
      <c r="K39" s="37" t="str">
        <f>IF($A39="","",'Risk Register'!P39)</f>
        <v/>
      </c>
      <c r="L39" s="37" t="str">
        <f>IF($A39="","",'Risk Register'!S39)</f>
        <v/>
      </c>
      <c r="M39" s="37" t="str">
        <f>IF($A39="","",'Risk Register'!T39)</f>
        <v/>
      </c>
      <c r="N39" s="38" t="str">
        <f>IF($A39="","",'Risk Register'!U39)</f>
        <v/>
      </c>
      <c r="O39" s="38" t="str">
        <f>IF($A39="","",'Risk Register'!Y39)</f>
        <v/>
      </c>
      <c r="P39" s="38" t="str">
        <f>IF($A39="","",'Risk Register'!J39&amp;"")</f>
        <v/>
      </c>
      <c r="Q39" s="37" t="str">
        <f>IF($A39="","",'RCM Summary'!J39)</f>
        <v/>
      </c>
      <c r="R39" s="37" t="str">
        <f>IF($A39="","",'Risk Register'!AC39)</f>
        <v/>
      </c>
      <c r="S39" s="37" t="str">
        <f>IF($A39="","",'Risk Register'!AD39)</f>
        <v/>
      </c>
      <c r="T39" s="45" t="str">
        <f>IF($A39="","",'Risk Register'!X39)</f>
        <v/>
      </c>
      <c r="U39" s="37" t="str">
        <f>IF($A39="","",IFERROR(INDEX(Appetite!$J$6:$J$17,MATCH('Risk Register'!D39,Appetite!$A$6:$A$17,0)),""))</f>
        <v/>
      </c>
      <c r="V39" s="38" t="str">
        <f>IF($A39="","",'Risk Register'!AK39)</f>
        <v/>
      </c>
    </row>
    <row r="40" spans="1:22" x14ac:dyDescent="0.35">
      <c r="A40" s="45" t="str">
        <f>IF('Risk Register'!A40="","",Methodology!$B$4)</f>
        <v/>
      </c>
      <c r="B40" s="37" t="str">
        <f t="shared" si="1"/>
        <v/>
      </c>
      <c r="C40" s="38" t="str">
        <f>IF($A40="","",'Risk Register'!A40)</f>
        <v/>
      </c>
      <c r="D40" s="44" t="str">
        <f>IF($A40="","",'Risk Register'!B40)</f>
        <v/>
      </c>
      <c r="E40" s="38" t="str">
        <f>IF($A40="","",'Risk Register'!D40)</f>
        <v/>
      </c>
      <c r="F40" s="38" t="str">
        <f>IF($A40="","",'Risk Register'!E40)</f>
        <v/>
      </c>
      <c r="G40" s="37" t="str">
        <f>IF($A40="","",'Risk Register'!H40)</f>
        <v/>
      </c>
      <c r="H40" s="37" t="str">
        <f>IF($A40="","",'Risk Register'!M40)</f>
        <v/>
      </c>
      <c r="I40" s="37" t="str">
        <f>IF($A40="","",'Risk Register'!N40)</f>
        <v/>
      </c>
      <c r="J40" s="37" t="str">
        <f>IF($A40="","",'Risk Register'!O40)</f>
        <v/>
      </c>
      <c r="K40" s="37" t="str">
        <f>IF($A40="","",'Risk Register'!P40)</f>
        <v/>
      </c>
      <c r="L40" s="37" t="str">
        <f>IF($A40="","",'Risk Register'!S40)</f>
        <v/>
      </c>
      <c r="M40" s="37" t="str">
        <f>IF($A40="","",'Risk Register'!T40)</f>
        <v/>
      </c>
      <c r="N40" s="38" t="str">
        <f>IF($A40="","",'Risk Register'!U40)</f>
        <v/>
      </c>
      <c r="O40" s="38" t="str">
        <f>IF($A40="","",'Risk Register'!Y40)</f>
        <v/>
      </c>
      <c r="P40" s="38" t="str">
        <f>IF($A40="","",'Risk Register'!J40&amp;"")</f>
        <v/>
      </c>
      <c r="Q40" s="37" t="str">
        <f>IF($A40="","",'RCM Summary'!J40)</f>
        <v/>
      </c>
      <c r="R40" s="37" t="str">
        <f>IF($A40="","",'Risk Register'!AC40)</f>
        <v/>
      </c>
      <c r="S40" s="37" t="str">
        <f>IF($A40="","",'Risk Register'!AD40)</f>
        <v/>
      </c>
      <c r="T40" s="45" t="str">
        <f>IF($A40="","",'Risk Register'!X40)</f>
        <v/>
      </c>
      <c r="U40" s="37" t="str">
        <f>IF($A40="","",IFERROR(INDEX(Appetite!$J$6:$J$17,MATCH('Risk Register'!D40,Appetite!$A$6:$A$17,0)),""))</f>
        <v/>
      </c>
      <c r="V40" s="38" t="str">
        <f>IF($A40="","",'Risk Register'!AK40)</f>
        <v/>
      </c>
    </row>
    <row r="41" spans="1:22" x14ac:dyDescent="0.35">
      <c r="A41" s="45" t="str">
        <f>IF('Risk Register'!A41="","",Methodology!$B$4)</f>
        <v/>
      </c>
      <c r="B41" s="37" t="str">
        <f t="shared" si="1"/>
        <v/>
      </c>
      <c r="C41" s="38" t="str">
        <f>IF($A41="","",'Risk Register'!A41)</f>
        <v/>
      </c>
      <c r="D41" s="44" t="str">
        <f>IF($A41="","",'Risk Register'!B41)</f>
        <v/>
      </c>
      <c r="E41" s="38" t="str">
        <f>IF($A41="","",'Risk Register'!D41)</f>
        <v/>
      </c>
      <c r="F41" s="38" t="str">
        <f>IF($A41="","",'Risk Register'!E41)</f>
        <v/>
      </c>
      <c r="G41" s="37" t="str">
        <f>IF($A41="","",'Risk Register'!H41)</f>
        <v/>
      </c>
      <c r="H41" s="37" t="str">
        <f>IF($A41="","",'Risk Register'!M41)</f>
        <v/>
      </c>
      <c r="I41" s="37" t="str">
        <f>IF($A41="","",'Risk Register'!N41)</f>
        <v/>
      </c>
      <c r="J41" s="37" t="str">
        <f>IF($A41="","",'Risk Register'!O41)</f>
        <v/>
      </c>
      <c r="K41" s="37" t="str">
        <f>IF($A41="","",'Risk Register'!P41)</f>
        <v/>
      </c>
      <c r="L41" s="37" t="str">
        <f>IF($A41="","",'Risk Register'!S41)</f>
        <v/>
      </c>
      <c r="M41" s="37" t="str">
        <f>IF($A41="","",'Risk Register'!T41)</f>
        <v/>
      </c>
      <c r="N41" s="38" t="str">
        <f>IF($A41="","",'Risk Register'!U41)</f>
        <v/>
      </c>
      <c r="O41" s="38" t="str">
        <f>IF($A41="","",'Risk Register'!Y41)</f>
        <v/>
      </c>
      <c r="P41" s="38" t="str">
        <f>IF($A41="","",'Risk Register'!J41&amp;"")</f>
        <v/>
      </c>
      <c r="Q41" s="37" t="str">
        <f>IF($A41="","",'RCM Summary'!J41)</f>
        <v/>
      </c>
      <c r="R41" s="37" t="str">
        <f>IF($A41="","",'Risk Register'!AC41)</f>
        <v/>
      </c>
      <c r="S41" s="37" t="str">
        <f>IF($A41="","",'Risk Register'!AD41)</f>
        <v/>
      </c>
      <c r="T41" s="45" t="str">
        <f>IF($A41="","",'Risk Register'!X41)</f>
        <v/>
      </c>
      <c r="U41" s="37" t="str">
        <f>IF($A41="","",IFERROR(INDEX(Appetite!$J$6:$J$17,MATCH('Risk Register'!D41,Appetite!$A$6:$A$17,0)),""))</f>
        <v/>
      </c>
      <c r="V41" s="38" t="str">
        <f>IF($A41="","",'Risk Register'!AK41)</f>
        <v/>
      </c>
    </row>
    <row r="42" spans="1:22" x14ac:dyDescent="0.35">
      <c r="A42" s="45" t="str">
        <f>IF('Risk Register'!A42="","",Methodology!$B$4)</f>
        <v/>
      </c>
      <c r="B42" s="37" t="str">
        <f t="shared" si="1"/>
        <v/>
      </c>
      <c r="C42" s="38" t="str">
        <f>IF($A42="","",'Risk Register'!A42)</f>
        <v/>
      </c>
      <c r="D42" s="44" t="str">
        <f>IF($A42="","",'Risk Register'!B42)</f>
        <v/>
      </c>
      <c r="E42" s="38" t="str">
        <f>IF($A42="","",'Risk Register'!D42)</f>
        <v/>
      </c>
      <c r="F42" s="38" t="str">
        <f>IF($A42="","",'Risk Register'!E42)</f>
        <v/>
      </c>
      <c r="G42" s="37" t="str">
        <f>IF($A42="","",'Risk Register'!H42)</f>
        <v/>
      </c>
      <c r="H42" s="37" t="str">
        <f>IF($A42="","",'Risk Register'!M42)</f>
        <v/>
      </c>
      <c r="I42" s="37" t="str">
        <f>IF($A42="","",'Risk Register'!N42)</f>
        <v/>
      </c>
      <c r="J42" s="37" t="str">
        <f>IF($A42="","",'Risk Register'!O42)</f>
        <v/>
      </c>
      <c r="K42" s="37" t="str">
        <f>IF($A42="","",'Risk Register'!P42)</f>
        <v/>
      </c>
      <c r="L42" s="37" t="str">
        <f>IF($A42="","",'Risk Register'!S42)</f>
        <v/>
      </c>
      <c r="M42" s="37" t="str">
        <f>IF($A42="","",'Risk Register'!T42)</f>
        <v/>
      </c>
      <c r="N42" s="38" t="str">
        <f>IF($A42="","",'Risk Register'!U42)</f>
        <v/>
      </c>
      <c r="O42" s="38" t="str">
        <f>IF($A42="","",'Risk Register'!Y42)</f>
        <v/>
      </c>
      <c r="P42" s="38" t="str">
        <f>IF($A42="","",'Risk Register'!J42&amp;"")</f>
        <v/>
      </c>
      <c r="Q42" s="37" t="str">
        <f>IF($A42="","",'RCM Summary'!J42)</f>
        <v/>
      </c>
      <c r="R42" s="37" t="str">
        <f>IF($A42="","",'Risk Register'!AC42)</f>
        <v/>
      </c>
      <c r="S42" s="37" t="str">
        <f>IF($A42="","",'Risk Register'!AD42)</f>
        <v/>
      </c>
      <c r="T42" s="45" t="str">
        <f>IF($A42="","",'Risk Register'!X42)</f>
        <v/>
      </c>
      <c r="U42" s="37" t="str">
        <f>IF($A42="","",IFERROR(INDEX(Appetite!$J$6:$J$17,MATCH('Risk Register'!D42,Appetite!$A$6:$A$17,0)),""))</f>
        <v/>
      </c>
      <c r="V42" s="38" t="str">
        <f>IF($A42="","",'Risk Register'!AK42)</f>
        <v/>
      </c>
    </row>
    <row r="43" spans="1:22" x14ac:dyDescent="0.35">
      <c r="A43" s="45" t="str">
        <f>IF('Risk Register'!A43="","",Methodology!$B$4)</f>
        <v/>
      </c>
      <c r="B43" s="37" t="str">
        <f t="shared" si="1"/>
        <v/>
      </c>
      <c r="C43" s="38" t="str">
        <f>IF($A43="","",'Risk Register'!A43)</f>
        <v/>
      </c>
      <c r="D43" s="44" t="str">
        <f>IF($A43="","",'Risk Register'!B43)</f>
        <v/>
      </c>
      <c r="E43" s="38" t="str">
        <f>IF($A43="","",'Risk Register'!D43)</f>
        <v/>
      </c>
      <c r="F43" s="38" t="str">
        <f>IF($A43="","",'Risk Register'!E43)</f>
        <v/>
      </c>
      <c r="G43" s="37" t="str">
        <f>IF($A43="","",'Risk Register'!H43)</f>
        <v/>
      </c>
      <c r="H43" s="37" t="str">
        <f>IF($A43="","",'Risk Register'!M43)</f>
        <v/>
      </c>
      <c r="I43" s="37" t="str">
        <f>IF($A43="","",'Risk Register'!N43)</f>
        <v/>
      </c>
      <c r="J43" s="37" t="str">
        <f>IF($A43="","",'Risk Register'!O43)</f>
        <v/>
      </c>
      <c r="K43" s="37" t="str">
        <f>IF($A43="","",'Risk Register'!P43)</f>
        <v/>
      </c>
      <c r="L43" s="37" t="str">
        <f>IF($A43="","",'Risk Register'!S43)</f>
        <v/>
      </c>
      <c r="M43" s="37" t="str">
        <f>IF($A43="","",'Risk Register'!T43)</f>
        <v/>
      </c>
      <c r="N43" s="38" t="str">
        <f>IF($A43="","",'Risk Register'!U43)</f>
        <v/>
      </c>
      <c r="O43" s="38" t="str">
        <f>IF($A43="","",'Risk Register'!Y43)</f>
        <v/>
      </c>
      <c r="P43" s="38" t="str">
        <f>IF($A43="","",'Risk Register'!J43&amp;"")</f>
        <v/>
      </c>
      <c r="Q43" s="37" t="str">
        <f>IF($A43="","",'RCM Summary'!J43)</f>
        <v/>
      </c>
      <c r="R43" s="37" t="str">
        <f>IF($A43="","",'Risk Register'!AC43)</f>
        <v/>
      </c>
      <c r="S43" s="37" t="str">
        <f>IF($A43="","",'Risk Register'!AD43)</f>
        <v/>
      </c>
      <c r="T43" s="45" t="str">
        <f>IF($A43="","",'Risk Register'!X43)</f>
        <v/>
      </c>
      <c r="U43" s="37" t="str">
        <f>IF($A43="","",IFERROR(INDEX(Appetite!$J$6:$J$17,MATCH('Risk Register'!D43,Appetite!$A$6:$A$17,0)),""))</f>
        <v/>
      </c>
      <c r="V43" s="38" t="str">
        <f>IF($A43="","",'Risk Register'!AK43)</f>
        <v/>
      </c>
    </row>
    <row r="44" spans="1:22" x14ac:dyDescent="0.35">
      <c r="A44" s="45" t="str">
        <f>IF('Risk Register'!A44="","",Methodology!$B$4)</f>
        <v/>
      </c>
      <c r="B44" s="37" t="str">
        <f t="shared" si="1"/>
        <v/>
      </c>
      <c r="C44" s="38" t="str">
        <f>IF($A44="","",'Risk Register'!A44)</f>
        <v/>
      </c>
      <c r="D44" s="44" t="str">
        <f>IF($A44="","",'Risk Register'!B44)</f>
        <v/>
      </c>
      <c r="E44" s="38" t="str">
        <f>IF($A44="","",'Risk Register'!D44)</f>
        <v/>
      </c>
      <c r="F44" s="38" t="str">
        <f>IF($A44="","",'Risk Register'!E44)</f>
        <v/>
      </c>
      <c r="G44" s="37" t="str">
        <f>IF($A44="","",'Risk Register'!H44)</f>
        <v/>
      </c>
      <c r="H44" s="37" t="str">
        <f>IF($A44="","",'Risk Register'!M44)</f>
        <v/>
      </c>
      <c r="I44" s="37" t="str">
        <f>IF($A44="","",'Risk Register'!N44)</f>
        <v/>
      </c>
      <c r="J44" s="37" t="str">
        <f>IF($A44="","",'Risk Register'!O44)</f>
        <v/>
      </c>
      <c r="K44" s="37" t="str">
        <f>IF($A44="","",'Risk Register'!P44)</f>
        <v/>
      </c>
      <c r="L44" s="37" t="str">
        <f>IF($A44="","",'Risk Register'!S44)</f>
        <v/>
      </c>
      <c r="M44" s="37" t="str">
        <f>IF($A44="","",'Risk Register'!T44)</f>
        <v/>
      </c>
      <c r="N44" s="38" t="str">
        <f>IF($A44="","",'Risk Register'!U44)</f>
        <v/>
      </c>
      <c r="O44" s="38" t="str">
        <f>IF($A44="","",'Risk Register'!Y44)</f>
        <v/>
      </c>
      <c r="P44" s="38" t="str">
        <f>IF($A44="","",'Risk Register'!J44&amp;"")</f>
        <v/>
      </c>
      <c r="Q44" s="37" t="str">
        <f>IF($A44="","",'RCM Summary'!J44)</f>
        <v/>
      </c>
      <c r="R44" s="37" t="str">
        <f>IF($A44="","",'Risk Register'!AC44)</f>
        <v/>
      </c>
      <c r="S44" s="37" t="str">
        <f>IF($A44="","",'Risk Register'!AD44)</f>
        <v/>
      </c>
      <c r="T44" s="45" t="str">
        <f>IF($A44="","",'Risk Register'!X44)</f>
        <v/>
      </c>
      <c r="U44" s="37" t="str">
        <f>IF($A44="","",IFERROR(INDEX(Appetite!$J$6:$J$17,MATCH('Risk Register'!D44,Appetite!$A$6:$A$17,0)),""))</f>
        <v/>
      </c>
      <c r="V44" s="38" t="str">
        <f>IF($A44="","",'Risk Register'!AK44)</f>
        <v/>
      </c>
    </row>
    <row r="45" spans="1:22" x14ac:dyDescent="0.35">
      <c r="A45" s="45" t="str">
        <f>IF('Risk Register'!A45="","",Methodology!$B$4)</f>
        <v/>
      </c>
      <c r="B45" s="37" t="str">
        <f t="shared" si="1"/>
        <v/>
      </c>
      <c r="C45" s="38" t="str">
        <f>IF($A45="","",'Risk Register'!A45)</f>
        <v/>
      </c>
      <c r="D45" s="44" t="str">
        <f>IF($A45="","",'Risk Register'!B45)</f>
        <v/>
      </c>
      <c r="E45" s="38" t="str">
        <f>IF($A45="","",'Risk Register'!D45)</f>
        <v/>
      </c>
      <c r="F45" s="38" t="str">
        <f>IF($A45="","",'Risk Register'!E45)</f>
        <v/>
      </c>
      <c r="G45" s="37" t="str">
        <f>IF($A45="","",'Risk Register'!H45)</f>
        <v/>
      </c>
      <c r="H45" s="37" t="str">
        <f>IF($A45="","",'Risk Register'!M45)</f>
        <v/>
      </c>
      <c r="I45" s="37" t="str">
        <f>IF($A45="","",'Risk Register'!N45)</f>
        <v/>
      </c>
      <c r="J45" s="37" t="str">
        <f>IF($A45="","",'Risk Register'!O45)</f>
        <v/>
      </c>
      <c r="K45" s="37" t="str">
        <f>IF($A45="","",'Risk Register'!P45)</f>
        <v/>
      </c>
      <c r="L45" s="37" t="str">
        <f>IF($A45="","",'Risk Register'!S45)</f>
        <v/>
      </c>
      <c r="M45" s="37" t="str">
        <f>IF($A45="","",'Risk Register'!T45)</f>
        <v/>
      </c>
      <c r="N45" s="38" t="str">
        <f>IF($A45="","",'Risk Register'!U45)</f>
        <v/>
      </c>
      <c r="O45" s="38" t="str">
        <f>IF($A45="","",'Risk Register'!Y45)</f>
        <v/>
      </c>
      <c r="P45" s="38" t="str">
        <f>IF($A45="","",'Risk Register'!J45&amp;"")</f>
        <v/>
      </c>
      <c r="Q45" s="37" t="str">
        <f>IF($A45="","",'RCM Summary'!J45)</f>
        <v/>
      </c>
      <c r="R45" s="37" t="str">
        <f>IF($A45="","",'Risk Register'!AC45)</f>
        <v/>
      </c>
      <c r="S45" s="37" t="str">
        <f>IF($A45="","",'Risk Register'!AD45)</f>
        <v/>
      </c>
      <c r="T45" s="45" t="str">
        <f>IF($A45="","",'Risk Register'!X45)</f>
        <v/>
      </c>
      <c r="U45" s="37" t="str">
        <f>IF($A45="","",IFERROR(INDEX(Appetite!$J$6:$J$17,MATCH('Risk Register'!D45,Appetite!$A$6:$A$17,0)),""))</f>
        <v/>
      </c>
      <c r="V45" s="38" t="str">
        <f>IF($A45="","",'Risk Register'!AK45)</f>
        <v/>
      </c>
    </row>
    <row r="46" spans="1:22" x14ac:dyDescent="0.35">
      <c r="A46" s="45" t="str">
        <f>IF('Risk Register'!A46="","",Methodology!$B$4)</f>
        <v/>
      </c>
      <c r="B46" s="37" t="str">
        <f t="shared" si="1"/>
        <v/>
      </c>
      <c r="C46" s="38" t="str">
        <f>IF($A46="","",'Risk Register'!A46)</f>
        <v/>
      </c>
      <c r="D46" s="44" t="str">
        <f>IF($A46="","",'Risk Register'!B46)</f>
        <v/>
      </c>
      <c r="E46" s="38" t="str">
        <f>IF($A46="","",'Risk Register'!D46)</f>
        <v/>
      </c>
      <c r="F46" s="38" t="str">
        <f>IF($A46="","",'Risk Register'!E46)</f>
        <v/>
      </c>
      <c r="G46" s="37" t="str">
        <f>IF($A46="","",'Risk Register'!H46)</f>
        <v/>
      </c>
      <c r="H46" s="37" t="str">
        <f>IF($A46="","",'Risk Register'!M46)</f>
        <v/>
      </c>
      <c r="I46" s="37" t="str">
        <f>IF($A46="","",'Risk Register'!N46)</f>
        <v/>
      </c>
      <c r="J46" s="37" t="str">
        <f>IF($A46="","",'Risk Register'!O46)</f>
        <v/>
      </c>
      <c r="K46" s="37" t="str">
        <f>IF($A46="","",'Risk Register'!P46)</f>
        <v/>
      </c>
      <c r="L46" s="37" t="str">
        <f>IF($A46="","",'Risk Register'!S46)</f>
        <v/>
      </c>
      <c r="M46" s="37" t="str">
        <f>IF($A46="","",'Risk Register'!T46)</f>
        <v/>
      </c>
      <c r="N46" s="38" t="str">
        <f>IF($A46="","",'Risk Register'!U46)</f>
        <v/>
      </c>
      <c r="O46" s="38" t="str">
        <f>IF($A46="","",'Risk Register'!Y46)</f>
        <v/>
      </c>
      <c r="P46" s="38" t="str">
        <f>IF($A46="","",'Risk Register'!J46&amp;"")</f>
        <v/>
      </c>
      <c r="Q46" s="37" t="str">
        <f>IF($A46="","",'RCM Summary'!J46)</f>
        <v/>
      </c>
      <c r="R46" s="37" t="str">
        <f>IF($A46="","",'Risk Register'!AC46)</f>
        <v/>
      </c>
      <c r="S46" s="37" t="str">
        <f>IF($A46="","",'Risk Register'!AD46)</f>
        <v/>
      </c>
      <c r="T46" s="45" t="str">
        <f>IF($A46="","",'Risk Register'!X46)</f>
        <v/>
      </c>
      <c r="U46" s="37" t="str">
        <f>IF($A46="","",IFERROR(INDEX(Appetite!$J$6:$J$17,MATCH('Risk Register'!D46,Appetite!$A$6:$A$17,0)),""))</f>
        <v/>
      </c>
      <c r="V46" s="38" t="str">
        <f>IF($A46="","",'Risk Register'!AK46)</f>
        <v/>
      </c>
    </row>
    <row r="47" spans="1:22" x14ac:dyDescent="0.35">
      <c r="A47" s="45" t="str">
        <f>IF('Risk Register'!A47="","",Methodology!$B$4)</f>
        <v/>
      </c>
      <c r="B47" s="37" t="str">
        <f t="shared" si="1"/>
        <v/>
      </c>
      <c r="C47" s="38" t="str">
        <f>IF($A47="","",'Risk Register'!A47)</f>
        <v/>
      </c>
      <c r="D47" s="44" t="str">
        <f>IF($A47="","",'Risk Register'!B47)</f>
        <v/>
      </c>
      <c r="E47" s="38" t="str">
        <f>IF($A47="","",'Risk Register'!D47)</f>
        <v/>
      </c>
      <c r="F47" s="38" t="str">
        <f>IF($A47="","",'Risk Register'!E47)</f>
        <v/>
      </c>
      <c r="G47" s="37" t="str">
        <f>IF($A47="","",'Risk Register'!H47)</f>
        <v/>
      </c>
      <c r="H47" s="37" t="str">
        <f>IF($A47="","",'Risk Register'!M47)</f>
        <v/>
      </c>
      <c r="I47" s="37" t="str">
        <f>IF($A47="","",'Risk Register'!N47)</f>
        <v/>
      </c>
      <c r="J47" s="37" t="str">
        <f>IF($A47="","",'Risk Register'!O47)</f>
        <v/>
      </c>
      <c r="K47" s="37" t="str">
        <f>IF($A47="","",'Risk Register'!P47)</f>
        <v/>
      </c>
      <c r="L47" s="37" t="str">
        <f>IF($A47="","",'Risk Register'!S47)</f>
        <v/>
      </c>
      <c r="M47" s="37" t="str">
        <f>IF($A47="","",'Risk Register'!T47)</f>
        <v/>
      </c>
      <c r="N47" s="38" t="str">
        <f>IF($A47="","",'Risk Register'!U47)</f>
        <v/>
      </c>
      <c r="O47" s="38" t="str">
        <f>IF($A47="","",'Risk Register'!Y47)</f>
        <v/>
      </c>
      <c r="P47" s="38" t="str">
        <f>IF($A47="","",'Risk Register'!J47&amp;"")</f>
        <v/>
      </c>
      <c r="Q47" s="37" t="str">
        <f>IF($A47="","",'RCM Summary'!J47)</f>
        <v/>
      </c>
      <c r="R47" s="37" t="str">
        <f>IF($A47="","",'Risk Register'!AC47)</f>
        <v/>
      </c>
      <c r="S47" s="37" t="str">
        <f>IF($A47="","",'Risk Register'!AD47)</f>
        <v/>
      </c>
      <c r="T47" s="45" t="str">
        <f>IF($A47="","",'Risk Register'!X47)</f>
        <v/>
      </c>
      <c r="U47" s="37" t="str">
        <f>IF($A47="","",IFERROR(INDEX(Appetite!$J$6:$J$17,MATCH('Risk Register'!D47,Appetite!$A$6:$A$17,0)),""))</f>
        <v/>
      </c>
      <c r="V47" s="38" t="str">
        <f>IF($A47="","",'Risk Register'!AK47)</f>
        <v/>
      </c>
    </row>
    <row r="48" spans="1:22" x14ac:dyDescent="0.35">
      <c r="A48" s="45" t="str">
        <f>IF('Risk Register'!A48="","",Methodology!$B$4)</f>
        <v/>
      </c>
      <c r="B48" s="37" t="str">
        <f t="shared" si="1"/>
        <v/>
      </c>
      <c r="C48" s="38" t="str">
        <f>IF($A48="","",'Risk Register'!A48)</f>
        <v/>
      </c>
      <c r="D48" s="44" t="str">
        <f>IF($A48="","",'Risk Register'!B48)</f>
        <v/>
      </c>
      <c r="E48" s="38" t="str">
        <f>IF($A48="","",'Risk Register'!D48)</f>
        <v/>
      </c>
      <c r="F48" s="38" t="str">
        <f>IF($A48="","",'Risk Register'!E48)</f>
        <v/>
      </c>
      <c r="G48" s="37" t="str">
        <f>IF($A48="","",'Risk Register'!H48)</f>
        <v/>
      </c>
      <c r="H48" s="37" t="str">
        <f>IF($A48="","",'Risk Register'!M48)</f>
        <v/>
      </c>
      <c r="I48" s="37" t="str">
        <f>IF($A48="","",'Risk Register'!N48)</f>
        <v/>
      </c>
      <c r="J48" s="37" t="str">
        <f>IF($A48="","",'Risk Register'!O48)</f>
        <v/>
      </c>
      <c r="K48" s="37" t="str">
        <f>IF($A48="","",'Risk Register'!P48)</f>
        <v/>
      </c>
      <c r="L48" s="37" t="str">
        <f>IF($A48="","",'Risk Register'!S48)</f>
        <v/>
      </c>
      <c r="M48" s="37" t="str">
        <f>IF($A48="","",'Risk Register'!T48)</f>
        <v/>
      </c>
      <c r="N48" s="38" t="str">
        <f>IF($A48="","",'Risk Register'!U48)</f>
        <v/>
      </c>
      <c r="O48" s="38" t="str">
        <f>IF($A48="","",'Risk Register'!Y48)</f>
        <v/>
      </c>
      <c r="P48" s="38" t="str">
        <f>IF($A48="","",'Risk Register'!J48&amp;"")</f>
        <v/>
      </c>
      <c r="Q48" s="37" t="str">
        <f>IF($A48="","",'RCM Summary'!J48)</f>
        <v/>
      </c>
      <c r="R48" s="37" t="str">
        <f>IF($A48="","",'Risk Register'!AC48)</f>
        <v/>
      </c>
      <c r="S48" s="37" t="str">
        <f>IF($A48="","",'Risk Register'!AD48)</f>
        <v/>
      </c>
      <c r="T48" s="45" t="str">
        <f>IF($A48="","",'Risk Register'!X48)</f>
        <v/>
      </c>
      <c r="U48" s="37" t="str">
        <f>IF($A48="","",IFERROR(INDEX(Appetite!$J$6:$J$17,MATCH('Risk Register'!D48,Appetite!$A$6:$A$17,0)),""))</f>
        <v/>
      </c>
      <c r="V48" s="38" t="str">
        <f>IF($A48="","",'Risk Register'!AK48)</f>
        <v/>
      </c>
    </row>
    <row r="49" spans="1:22" x14ac:dyDescent="0.35">
      <c r="A49" s="45" t="str">
        <f>IF('Risk Register'!A49="","",Methodology!$B$4)</f>
        <v/>
      </c>
      <c r="B49" s="37" t="str">
        <f t="shared" si="1"/>
        <v/>
      </c>
      <c r="C49" s="38" t="str">
        <f>IF($A49="","",'Risk Register'!A49)</f>
        <v/>
      </c>
      <c r="D49" s="44" t="str">
        <f>IF($A49="","",'Risk Register'!B49)</f>
        <v/>
      </c>
      <c r="E49" s="38" t="str">
        <f>IF($A49="","",'Risk Register'!D49)</f>
        <v/>
      </c>
      <c r="F49" s="38" t="str">
        <f>IF($A49="","",'Risk Register'!E49)</f>
        <v/>
      </c>
      <c r="G49" s="37" t="str">
        <f>IF($A49="","",'Risk Register'!H49)</f>
        <v/>
      </c>
      <c r="H49" s="37" t="str">
        <f>IF($A49="","",'Risk Register'!M49)</f>
        <v/>
      </c>
      <c r="I49" s="37" t="str">
        <f>IF($A49="","",'Risk Register'!N49)</f>
        <v/>
      </c>
      <c r="J49" s="37" t="str">
        <f>IF($A49="","",'Risk Register'!O49)</f>
        <v/>
      </c>
      <c r="K49" s="37" t="str">
        <f>IF($A49="","",'Risk Register'!P49)</f>
        <v/>
      </c>
      <c r="L49" s="37" t="str">
        <f>IF($A49="","",'Risk Register'!S49)</f>
        <v/>
      </c>
      <c r="M49" s="37" t="str">
        <f>IF($A49="","",'Risk Register'!T49)</f>
        <v/>
      </c>
      <c r="N49" s="38" t="str">
        <f>IF($A49="","",'Risk Register'!U49)</f>
        <v/>
      </c>
      <c r="O49" s="38" t="str">
        <f>IF($A49="","",'Risk Register'!Y49)</f>
        <v/>
      </c>
      <c r="P49" s="38" t="str">
        <f>IF($A49="","",'Risk Register'!J49&amp;"")</f>
        <v/>
      </c>
      <c r="Q49" s="37" t="str">
        <f>IF($A49="","",'RCM Summary'!J49)</f>
        <v/>
      </c>
      <c r="R49" s="37" t="str">
        <f>IF($A49="","",'Risk Register'!AC49)</f>
        <v/>
      </c>
      <c r="S49" s="37" t="str">
        <f>IF($A49="","",'Risk Register'!AD49)</f>
        <v/>
      </c>
      <c r="T49" s="45" t="str">
        <f>IF($A49="","",'Risk Register'!X49)</f>
        <v/>
      </c>
      <c r="U49" s="37" t="str">
        <f>IF($A49="","",IFERROR(INDEX(Appetite!$J$6:$J$17,MATCH('Risk Register'!D49,Appetite!$A$6:$A$17,0)),""))</f>
        <v/>
      </c>
      <c r="V49" s="38" t="str">
        <f>IF($A49="","",'Risk Register'!AK49)</f>
        <v/>
      </c>
    </row>
    <row r="50" spans="1:22" x14ac:dyDescent="0.35">
      <c r="A50" s="45" t="str">
        <f>IF('Risk Register'!A50="","",Methodology!$B$4)</f>
        <v/>
      </c>
      <c r="B50" s="37" t="str">
        <f t="shared" si="1"/>
        <v/>
      </c>
      <c r="C50" s="38" t="str">
        <f>IF($A50="","",'Risk Register'!A50)</f>
        <v/>
      </c>
      <c r="D50" s="44" t="str">
        <f>IF($A50="","",'Risk Register'!B50)</f>
        <v/>
      </c>
      <c r="E50" s="38" t="str">
        <f>IF($A50="","",'Risk Register'!D50)</f>
        <v/>
      </c>
      <c r="F50" s="38" t="str">
        <f>IF($A50="","",'Risk Register'!E50)</f>
        <v/>
      </c>
      <c r="G50" s="37" t="str">
        <f>IF($A50="","",'Risk Register'!H50)</f>
        <v/>
      </c>
      <c r="H50" s="37" t="str">
        <f>IF($A50="","",'Risk Register'!M50)</f>
        <v/>
      </c>
      <c r="I50" s="37" t="str">
        <f>IF($A50="","",'Risk Register'!N50)</f>
        <v/>
      </c>
      <c r="J50" s="37" t="str">
        <f>IF($A50="","",'Risk Register'!O50)</f>
        <v/>
      </c>
      <c r="K50" s="37" t="str">
        <f>IF($A50="","",'Risk Register'!P50)</f>
        <v/>
      </c>
      <c r="L50" s="37" t="str">
        <f>IF($A50="","",'Risk Register'!S50)</f>
        <v/>
      </c>
      <c r="M50" s="37" t="str">
        <f>IF($A50="","",'Risk Register'!T50)</f>
        <v/>
      </c>
      <c r="N50" s="38" t="str">
        <f>IF($A50="","",'Risk Register'!U50)</f>
        <v/>
      </c>
      <c r="O50" s="38" t="str">
        <f>IF($A50="","",'Risk Register'!Y50)</f>
        <v/>
      </c>
      <c r="P50" s="38" t="str">
        <f>IF($A50="","",'Risk Register'!J50&amp;"")</f>
        <v/>
      </c>
      <c r="Q50" s="37" t="str">
        <f>IF($A50="","",'RCM Summary'!J50)</f>
        <v/>
      </c>
      <c r="R50" s="37" t="str">
        <f>IF($A50="","",'Risk Register'!AC50)</f>
        <v/>
      </c>
      <c r="S50" s="37" t="str">
        <f>IF($A50="","",'Risk Register'!AD50)</f>
        <v/>
      </c>
      <c r="T50" s="45" t="str">
        <f>IF($A50="","",'Risk Register'!X50)</f>
        <v/>
      </c>
      <c r="U50" s="37" t="str">
        <f>IF($A50="","",IFERROR(INDEX(Appetite!$J$6:$J$17,MATCH('Risk Register'!D50,Appetite!$A$6:$A$17,0)),""))</f>
        <v/>
      </c>
      <c r="V50" s="38" t="str">
        <f>IF($A50="","",'Risk Register'!AK50)</f>
        <v/>
      </c>
    </row>
    <row r="51" spans="1:22" x14ac:dyDescent="0.35">
      <c r="A51" s="45" t="str">
        <f>IF('Risk Register'!A51="","",Methodology!$B$4)</f>
        <v/>
      </c>
      <c r="B51" s="37" t="str">
        <f t="shared" si="1"/>
        <v/>
      </c>
      <c r="C51" s="38" t="str">
        <f>IF($A51="","",'Risk Register'!A51)</f>
        <v/>
      </c>
      <c r="D51" s="44" t="str">
        <f>IF($A51="","",'Risk Register'!B51)</f>
        <v/>
      </c>
      <c r="E51" s="38" t="str">
        <f>IF($A51="","",'Risk Register'!D51)</f>
        <v/>
      </c>
      <c r="F51" s="38" t="str">
        <f>IF($A51="","",'Risk Register'!E51)</f>
        <v/>
      </c>
      <c r="G51" s="37" t="str">
        <f>IF($A51="","",'Risk Register'!H51)</f>
        <v/>
      </c>
      <c r="H51" s="37" t="str">
        <f>IF($A51="","",'Risk Register'!M51)</f>
        <v/>
      </c>
      <c r="I51" s="37" t="str">
        <f>IF($A51="","",'Risk Register'!N51)</f>
        <v/>
      </c>
      <c r="J51" s="37" t="str">
        <f>IF($A51="","",'Risk Register'!O51)</f>
        <v/>
      </c>
      <c r="K51" s="37" t="str">
        <f>IF($A51="","",'Risk Register'!P51)</f>
        <v/>
      </c>
      <c r="L51" s="37" t="str">
        <f>IF($A51="","",'Risk Register'!S51)</f>
        <v/>
      </c>
      <c r="M51" s="37" t="str">
        <f>IF($A51="","",'Risk Register'!T51)</f>
        <v/>
      </c>
      <c r="N51" s="38" t="str">
        <f>IF($A51="","",'Risk Register'!U51)</f>
        <v/>
      </c>
      <c r="O51" s="38" t="str">
        <f>IF($A51="","",'Risk Register'!Y51)</f>
        <v/>
      </c>
      <c r="P51" s="38" t="str">
        <f>IF($A51="","",'Risk Register'!J51&amp;"")</f>
        <v/>
      </c>
      <c r="Q51" s="37" t="str">
        <f>IF($A51="","",'RCM Summary'!J51)</f>
        <v/>
      </c>
      <c r="R51" s="37" t="str">
        <f>IF($A51="","",'Risk Register'!AC51)</f>
        <v/>
      </c>
      <c r="S51" s="37" t="str">
        <f>IF($A51="","",'Risk Register'!AD51)</f>
        <v/>
      </c>
      <c r="T51" s="45" t="str">
        <f>IF($A51="","",'Risk Register'!X51)</f>
        <v/>
      </c>
      <c r="U51" s="37" t="str">
        <f>IF($A51="","",IFERROR(INDEX(Appetite!$J$6:$J$17,MATCH('Risk Register'!D51,Appetite!$A$6:$A$17,0)),""))</f>
        <v/>
      </c>
      <c r="V51" s="38" t="str">
        <f>IF($A51="","",'Risk Register'!AK51)</f>
        <v/>
      </c>
    </row>
    <row r="52" spans="1:22" x14ac:dyDescent="0.35">
      <c r="A52" s="45" t="str">
        <f>IF('Risk Register'!A52="","",Methodology!$B$4)</f>
        <v/>
      </c>
      <c r="B52" s="37" t="str">
        <f t="shared" si="1"/>
        <v/>
      </c>
      <c r="C52" s="38" t="str">
        <f>IF($A52="","",'Risk Register'!A52)</f>
        <v/>
      </c>
      <c r="D52" s="44" t="str">
        <f>IF($A52="","",'Risk Register'!B52)</f>
        <v/>
      </c>
      <c r="E52" s="38" t="str">
        <f>IF($A52="","",'Risk Register'!D52)</f>
        <v/>
      </c>
      <c r="F52" s="38" t="str">
        <f>IF($A52="","",'Risk Register'!E52)</f>
        <v/>
      </c>
      <c r="G52" s="37" t="str">
        <f>IF($A52="","",'Risk Register'!H52)</f>
        <v/>
      </c>
      <c r="H52" s="37" t="str">
        <f>IF($A52="","",'Risk Register'!M52)</f>
        <v/>
      </c>
      <c r="I52" s="37" t="str">
        <f>IF($A52="","",'Risk Register'!N52)</f>
        <v/>
      </c>
      <c r="J52" s="37" t="str">
        <f>IF($A52="","",'Risk Register'!O52)</f>
        <v/>
      </c>
      <c r="K52" s="37" t="str">
        <f>IF($A52="","",'Risk Register'!P52)</f>
        <v/>
      </c>
      <c r="L52" s="37" t="str">
        <f>IF($A52="","",'Risk Register'!S52)</f>
        <v/>
      </c>
      <c r="M52" s="37" t="str">
        <f>IF($A52="","",'Risk Register'!T52)</f>
        <v/>
      </c>
      <c r="N52" s="38" t="str">
        <f>IF($A52="","",'Risk Register'!U52)</f>
        <v/>
      </c>
      <c r="O52" s="38" t="str">
        <f>IF($A52="","",'Risk Register'!Y52)</f>
        <v/>
      </c>
      <c r="P52" s="38" t="str">
        <f>IF($A52="","",'Risk Register'!J52&amp;"")</f>
        <v/>
      </c>
      <c r="Q52" s="37" t="str">
        <f>IF($A52="","",'RCM Summary'!J52)</f>
        <v/>
      </c>
      <c r="R52" s="37" t="str">
        <f>IF($A52="","",'Risk Register'!AC52)</f>
        <v/>
      </c>
      <c r="S52" s="37" t="str">
        <f>IF($A52="","",'Risk Register'!AD52)</f>
        <v/>
      </c>
      <c r="T52" s="45" t="str">
        <f>IF($A52="","",'Risk Register'!X52)</f>
        <v/>
      </c>
      <c r="U52" s="37" t="str">
        <f>IF($A52="","",IFERROR(INDEX(Appetite!$J$6:$J$17,MATCH('Risk Register'!D52,Appetite!$A$6:$A$17,0)),""))</f>
        <v/>
      </c>
      <c r="V52" s="38" t="str">
        <f>IF($A52="","",'Risk Register'!AK52)</f>
        <v/>
      </c>
    </row>
    <row r="53" spans="1:22" x14ac:dyDescent="0.35">
      <c r="A53" s="45" t="str">
        <f>IF('Risk Register'!A53="","",Methodology!$B$4)</f>
        <v/>
      </c>
      <c r="B53" s="37" t="str">
        <f t="shared" si="1"/>
        <v/>
      </c>
      <c r="C53" s="38" t="str">
        <f>IF($A53="","",'Risk Register'!A53)</f>
        <v/>
      </c>
      <c r="D53" s="44" t="str">
        <f>IF($A53="","",'Risk Register'!B53)</f>
        <v/>
      </c>
      <c r="E53" s="38" t="str">
        <f>IF($A53="","",'Risk Register'!D53)</f>
        <v/>
      </c>
      <c r="F53" s="38" t="str">
        <f>IF($A53="","",'Risk Register'!E53)</f>
        <v/>
      </c>
      <c r="G53" s="37" t="str">
        <f>IF($A53="","",'Risk Register'!H53)</f>
        <v/>
      </c>
      <c r="H53" s="37" t="str">
        <f>IF($A53="","",'Risk Register'!M53)</f>
        <v/>
      </c>
      <c r="I53" s="37" t="str">
        <f>IF($A53="","",'Risk Register'!N53)</f>
        <v/>
      </c>
      <c r="J53" s="37" t="str">
        <f>IF($A53="","",'Risk Register'!O53)</f>
        <v/>
      </c>
      <c r="K53" s="37" t="str">
        <f>IF($A53="","",'Risk Register'!P53)</f>
        <v/>
      </c>
      <c r="L53" s="37" t="str">
        <f>IF($A53="","",'Risk Register'!S53)</f>
        <v/>
      </c>
      <c r="M53" s="37" t="str">
        <f>IF($A53="","",'Risk Register'!T53)</f>
        <v/>
      </c>
      <c r="N53" s="38" t="str">
        <f>IF($A53="","",'Risk Register'!U53)</f>
        <v/>
      </c>
      <c r="O53" s="38" t="str">
        <f>IF($A53="","",'Risk Register'!Y53)</f>
        <v/>
      </c>
      <c r="P53" s="38" t="str">
        <f>IF($A53="","",'Risk Register'!J53&amp;"")</f>
        <v/>
      </c>
      <c r="Q53" s="37" t="str">
        <f>IF($A53="","",'RCM Summary'!J53)</f>
        <v/>
      </c>
      <c r="R53" s="37" t="str">
        <f>IF($A53="","",'Risk Register'!AC53)</f>
        <v/>
      </c>
      <c r="S53" s="37" t="str">
        <f>IF($A53="","",'Risk Register'!AD53)</f>
        <v/>
      </c>
      <c r="T53" s="45" t="str">
        <f>IF($A53="","",'Risk Register'!X53)</f>
        <v/>
      </c>
      <c r="U53" s="37" t="str">
        <f>IF($A53="","",IFERROR(INDEX(Appetite!$J$6:$J$17,MATCH('Risk Register'!D53,Appetite!$A$6:$A$17,0)),""))</f>
        <v/>
      </c>
      <c r="V53" s="38" t="str">
        <f>IF($A53="","",'Risk Register'!AK53)</f>
        <v/>
      </c>
    </row>
    <row r="54" spans="1:22" x14ac:dyDescent="0.35">
      <c r="A54" s="45" t="str">
        <f>IF('Risk Register'!A54="","",Methodology!$B$4)</f>
        <v/>
      </c>
      <c r="B54" s="37" t="str">
        <f t="shared" si="1"/>
        <v/>
      </c>
      <c r="C54" s="38" t="str">
        <f>IF($A54="","",'Risk Register'!A54)</f>
        <v/>
      </c>
      <c r="D54" s="44" t="str">
        <f>IF($A54="","",'Risk Register'!B54)</f>
        <v/>
      </c>
      <c r="E54" s="38" t="str">
        <f>IF($A54="","",'Risk Register'!D54)</f>
        <v/>
      </c>
      <c r="F54" s="38" t="str">
        <f>IF($A54="","",'Risk Register'!E54)</f>
        <v/>
      </c>
      <c r="G54" s="37" t="str">
        <f>IF($A54="","",'Risk Register'!H54)</f>
        <v/>
      </c>
      <c r="H54" s="37" t="str">
        <f>IF($A54="","",'Risk Register'!M54)</f>
        <v/>
      </c>
      <c r="I54" s="37" t="str">
        <f>IF($A54="","",'Risk Register'!N54)</f>
        <v/>
      </c>
      <c r="J54" s="37" t="str">
        <f>IF($A54="","",'Risk Register'!O54)</f>
        <v/>
      </c>
      <c r="K54" s="37" t="str">
        <f>IF($A54="","",'Risk Register'!P54)</f>
        <v/>
      </c>
      <c r="L54" s="37" t="str">
        <f>IF($A54="","",'Risk Register'!S54)</f>
        <v/>
      </c>
      <c r="M54" s="37" t="str">
        <f>IF($A54="","",'Risk Register'!T54)</f>
        <v/>
      </c>
      <c r="N54" s="38" t="str">
        <f>IF($A54="","",'Risk Register'!U54)</f>
        <v/>
      </c>
      <c r="O54" s="38" t="str">
        <f>IF($A54="","",'Risk Register'!Y54)</f>
        <v/>
      </c>
      <c r="P54" s="38" t="str">
        <f>IF($A54="","",'Risk Register'!J54&amp;"")</f>
        <v/>
      </c>
      <c r="Q54" s="37" t="str">
        <f>IF($A54="","",'RCM Summary'!J54)</f>
        <v/>
      </c>
      <c r="R54" s="37" t="str">
        <f>IF($A54="","",'Risk Register'!AC54)</f>
        <v/>
      </c>
      <c r="S54" s="37" t="str">
        <f>IF($A54="","",'Risk Register'!AD54)</f>
        <v/>
      </c>
      <c r="T54" s="45" t="str">
        <f>IF($A54="","",'Risk Register'!X54)</f>
        <v/>
      </c>
      <c r="U54" s="37" t="str">
        <f>IF($A54="","",IFERROR(INDEX(Appetite!$J$6:$J$17,MATCH('Risk Register'!D54,Appetite!$A$6:$A$17,0)),""))</f>
        <v/>
      </c>
      <c r="V54" s="38" t="str">
        <f>IF($A54="","",'Risk Register'!AK54)</f>
        <v/>
      </c>
    </row>
    <row r="55" spans="1:22" x14ac:dyDescent="0.35">
      <c r="A55" s="45" t="str">
        <f>IF('Risk Register'!A55="","",Methodology!$B$4)</f>
        <v/>
      </c>
      <c r="B55" s="37" t="str">
        <f t="shared" si="1"/>
        <v/>
      </c>
      <c r="C55" s="38" t="str">
        <f>IF($A55="","",'Risk Register'!A55)</f>
        <v/>
      </c>
      <c r="D55" s="44" t="str">
        <f>IF($A55="","",'Risk Register'!B55)</f>
        <v/>
      </c>
      <c r="E55" s="38" t="str">
        <f>IF($A55="","",'Risk Register'!D55)</f>
        <v/>
      </c>
      <c r="F55" s="38" t="str">
        <f>IF($A55="","",'Risk Register'!E55)</f>
        <v/>
      </c>
      <c r="G55" s="37" t="str">
        <f>IF($A55="","",'Risk Register'!H55)</f>
        <v/>
      </c>
      <c r="H55" s="37" t="str">
        <f>IF($A55="","",'Risk Register'!M55)</f>
        <v/>
      </c>
      <c r="I55" s="37" t="str">
        <f>IF($A55="","",'Risk Register'!N55)</f>
        <v/>
      </c>
      <c r="J55" s="37" t="str">
        <f>IF($A55="","",'Risk Register'!O55)</f>
        <v/>
      </c>
      <c r="K55" s="37" t="str">
        <f>IF($A55="","",'Risk Register'!P55)</f>
        <v/>
      </c>
      <c r="L55" s="37" t="str">
        <f>IF($A55="","",'Risk Register'!S55)</f>
        <v/>
      </c>
      <c r="M55" s="37" t="str">
        <f>IF($A55="","",'Risk Register'!T55)</f>
        <v/>
      </c>
      <c r="N55" s="38" t="str">
        <f>IF($A55="","",'Risk Register'!U55)</f>
        <v/>
      </c>
      <c r="O55" s="38" t="str">
        <f>IF($A55="","",'Risk Register'!Y55)</f>
        <v/>
      </c>
      <c r="P55" s="38" t="str">
        <f>IF($A55="","",'Risk Register'!J55&amp;"")</f>
        <v/>
      </c>
      <c r="Q55" s="37" t="str">
        <f>IF($A55="","",'RCM Summary'!J55)</f>
        <v/>
      </c>
      <c r="R55" s="37" t="str">
        <f>IF($A55="","",'Risk Register'!AC55)</f>
        <v/>
      </c>
      <c r="S55" s="37" t="str">
        <f>IF($A55="","",'Risk Register'!AD55)</f>
        <v/>
      </c>
      <c r="T55" s="45" t="str">
        <f>IF($A55="","",'Risk Register'!X55)</f>
        <v/>
      </c>
      <c r="U55" s="37" t="str">
        <f>IF($A55="","",IFERROR(INDEX(Appetite!$J$6:$J$17,MATCH('Risk Register'!D55,Appetite!$A$6:$A$17,0)),""))</f>
        <v/>
      </c>
      <c r="V55" s="38" t="str">
        <f>IF($A55="","",'Risk Register'!AK55)</f>
        <v/>
      </c>
    </row>
    <row r="56" spans="1:22" x14ac:dyDescent="0.35">
      <c r="A56" s="45" t="str">
        <f>IF('Risk Register'!A56="","",Methodology!$B$4)</f>
        <v/>
      </c>
      <c r="B56" s="37" t="str">
        <f t="shared" si="1"/>
        <v/>
      </c>
      <c r="C56" s="38" t="str">
        <f>IF($A56="","",'Risk Register'!A56)</f>
        <v/>
      </c>
      <c r="D56" s="44" t="str">
        <f>IF($A56="","",'Risk Register'!B56)</f>
        <v/>
      </c>
      <c r="E56" s="38" t="str">
        <f>IF($A56="","",'Risk Register'!D56)</f>
        <v/>
      </c>
      <c r="F56" s="38" t="str">
        <f>IF($A56="","",'Risk Register'!E56)</f>
        <v/>
      </c>
      <c r="G56" s="37" t="str">
        <f>IF($A56="","",'Risk Register'!H56)</f>
        <v/>
      </c>
      <c r="H56" s="37" t="str">
        <f>IF($A56="","",'Risk Register'!M56)</f>
        <v/>
      </c>
      <c r="I56" s="37" t="str">
        <f>IF($A56="","",'Risk Register'!N56)</f>
        <v/>
      </c>
      <c r="J56" s="37" t="str">
        <f>IF($A56="","",'Risk Register'!O56)</f>
        <v/>
      </c>
      <c r="K56" s="37" t="str">
        <f>IF($A56="","",'Risk Register'!P56)</f>
        <v/>
      </c>
      <c r="L56" s="37" t="str">
        <f>IF($A56="","",'Risk Register'!S56)</f>
        <v/>
      </c>
      <c r="M56" s="37" t="str">
        <f>IF($A56="","",'Risk Register'!T56)</f>
        <v/>
      </c>
      <c r="N56" s="38" t="str">
        <f>IF($A56="","",'Risk Register'!U56)</f>
        <v/>
      </c>
      <c r="O56" s="38" t="str">
        <f>IF($A56="","",'Risk Register'!Y56)</f>
        <v/>
      </c>
      <c r="P56" s="38" t="str">
        <f>IF($A56="","",'Risk Register'!J56&amp;"")</f>
        <v/>
      </c>
      <c r="Q56" s="37" t="str">
        <f>IF($A56="","",'RCM Summary'!J56)</f>
        <v/>
      </c>
      <c r="R56" s="37" t="str">
        <f>IF($A56="","",'Risk Register'!AC56)</f>
        <v/>
      </c>
      <c r="S56" s="37" t="str">
        <f>IF($A56="","",'Risk Register'!AD56)</f>
        <v/>
      </c>
      <c r="T56" s="45" t="str">
        <f>IF($A56="","",'Risk Register'!X56)</f>
        <v/>
      </c>
      <c r="U56" s="37" t="str">
        <f>IF($A56="","",IFERROR(INDEX(Appetite!$J$6:$J$17,MATCH('Risk Register'!D56,Appetite!$A$6:$A$17,0)),""))</f>
        <v/>
      </c>
      <c r="V56" s="38" t="str">
        <f>IF($A56="","",'Risk Register'!AK56)</f>
        <v/>
      </c>
    </row>
    <row r="57" spans="1:22" x14ac:dyDescent="0.35">
      <c r="A57" s="45" t="str">
        <f>IF('Risk Register'!A57="","",Methodology!$B$4)</f>
        <v/>
      </c>
      <c r="B57" s="37" t="str">
        <f t="shared" si="1"/>
        <v/>
      </c>
      <c r="C57" s="38" t="str">
        <f>IF($A57="","",'Risk Register'!A57)</f>
        <v/>
      </c>
      <c r="D57" s="44" t="str">
        <f>IF($A57="","",'Risk Register'!B57)</f>
        <v/>
      </c>
      <c r="E57" s="38" t="str">
        <f>IF($A57="","",'Risk Register'!D57)</f>
        <v/>
      </c>
      <c r="F57" s="38" t="str">
        <f>IF($A57="","",'Risk Register'!E57)</f>
        <v/>
      </c>
      <c r="G57" s="37" t="str">
        <f>IF($A57="","",'Risk Register'!H57)</f>
        <v/>
      </c>
      <c r="H57" s="37" t="str">
        <f>IF($A57="","",'Risk Register'!M57)</f>
        <v/>
      </c>
      <c r="I57" s="37" t="str">
        <f>IF($A57="","",'Risk Register'!N57)</f>
        <v/>
      </c>
      <c r="J57" s="37" t="str">
        <f>IF($A57="","",'Risk Register'!O57)</f>
        <v/>
      </c>
      <c r="K57" s="37" t="str">
        <f>IF($A57="","",'Risk Register'!P57)</f>
        <v/>
      </c>
      <c r="L57" s="37" t="str">
        <f>IF($A57="","",'Risk Register'!S57)</f>
        <v/>
      </c>
      <c r="M57" s="37" t="str">
        <f>IF($A57="","",'Risk Register'!T57)</f>
        <v/>
      </c>
      <c r="N57" s="38" t="str">
        <f>IF($A57="","",'Risk Register'!U57)</f>
        <v/>
      </c>
      <c r="O57" s="38" t="str">
        <f>IF($A57="","",'Risk Register'!Y57)</f>
        <v/>
      </c>
      <c r="P57" s="38" t="str">
        <f>IF($A57="","",'Risk Register'!J57&amp;"")</f>
        <v/>
      </c>
      <c r="Q57" s="37" t="str">
        <f>IF($A57="","",'RCM Summary'!J57)</f>
        <v/>
      </c>
      <c r="R57" s="37" t="str">
        <f>IF($A57="","",'Risk Register'!AC57)</f>
        <v/>
      </c>
      <c r="S57" s="37" t="str">
        <f>IF($A57="","",'Risk Register'!AD57)</f>
        <v/>
      </c>
      <c r="T57" s="45" t="str">
        <f>IF($A57="","",'Risk Register'!X57)</f>
        <v/>
      </c>
      <c r="U57" s="37" t="str">
        <f>IF($A57="","",IFERROR(INDEX(Appetite!$J$6:$J$17,MATCH('Risk Register'!D57,Appetite!$A$6:$A$17,0)),""))</f>
        <v/>
      </c>
      <c r="V57" s="38" t="str">
        <f>IF($A57="","",'Risk Register'!AK57)</f>
        <v/>
      </c>
    </row>
    <row r="58" spans="1:22" x14ac:dyDescent="0.35">
      <c r="A58" s="45" t="str">
        <f>IF('Risk Register'!A58="","",Methodology!$B$4)</f>
        <v/>
      </c>
      <c r="B58" s="37" t="str">
        <f t="shared" si="1"/>
        <v/>
      </c>
      <c r="C58" s="38" t="str">
        <f>IF($A58="","",'Risk Register'!A58)</f>
        <v/>
      </c>
      <c r="D58" s="44" t="str">
        <f>IF($A58="","",'Risk Register'!B58)</f>
        <v/>
      </c>
      <c r="E58" s="38" t="str">
        <f>IF($A58="","",'Risk Register'!D58)</f>
        <v/>
      </c>
      <c r="F58" s="38" t="str">
        <f>IF($A58="","",'Risk Register'!E58)</f>
        <v/>
      </c>
      <c r="G58" s="37" t="str">
        <f>IF($A58="","",'Risk Register'!H58)</f>
        <v/>
      </c>
      <c r="H58" s="37" t="str">
        <f>IF($A58="","",'Risk Register'!M58)</f>
        <v/>
      </c>
      <c r="I58" s="37" t="str">
        <f>IF($A58="","",'Risk Register'!N58)</f>
        <v/>
      </c>
      <c r="J58" s="37" t="str">
        <f>IF($A58="","",'Risk Register'!O58)</f>
        <v/>
      </c>
      <c r="K58" s="37" t="str">
        <f>IF($A58="","",'Risk Register'!P58)</f>
        <v/>
      </c>
      <c r="L58" s="37" t="str">
        <f>IF($A58="","",'Risk Register'!S58)</f>
        <v/>
      </c>
      <c r="M58" s="37" t="str">
        <f>IF($A58="","",'Risk Register'!T58)</f>
        <v/>
      </c>
      <c r="N58" s="38" t="str">
        <f>IF($A58="","",'Risk Register'!U58)</f>
        <v/>
      </c>
      <c r="O58" s="38" t="str">
        <f>IF($A58="","",'Risk Register'!Y58)</f>
        <v/>
      </c>
      <c r="P58" s="38" t="str">
        <f>IF($A58="","",'Risk Register'!J58&amp;"")</f>
        <v/>
      </c>
      <c r="Q58" s="37" t="str">
        <f>IF($A58="","",'RCM Summary'!J58)</f>
        <v/>
      </c>
      <c r="R58" s="37" t="str">
        <f>IF($A58="","",'Risk Register'!AC58)</f>
        <v/>
      </c>
      <c r="S58" s="37" t="str">
        <f>IF($A58="","",'Risk Register'!AD58)</f>
        <v/>
      </c>
      <c r="T58" s="45" t="str">
        <f>IF($A58="","",'Risk Register'!X58)</f>
        <v/>
      </c>
      <c r="U58" s="37" t="str">
        <f>IF($A58="","",IFERROR(INDEX(Appetite!$J$6:$J$17,MATCH('Risk Register'!D58,Appetite!$A$6:$A$17,0)),""))</f>
        <v/>
      </c>
      <c r="V58" s="38" t="str">
        <f>IF($A58="","",'Risk Register'!AK58)</f>
        <v/>
      </c>
    </row>
    <row r="59" spans="1:22" x14ac:dyDescent="0.35">
      <c r="A59" s="45" t="str">
        <f>IF('Risk Register'!A59="","",Methodology!$B$4)</f>
        <v/>
      </c>
      <c r="B59" s="37" t="str">
        <f t="shared" si="1"/>
        <v/>
      </c>
      <c r="C59" s="38" t="str">
        <f>IF($A59="","",'Risk Register'!A59)</f>
        <v/>
      </c>
      <c r="D59" s="44" t="str">
        <f>IF($A59="","",'Risk Register'!B59)</f>
        <v/>
      </c>
      <c r="E59" s="38" t="str">
        <f>IF($A59="","",'Risk Register'!D59)</f>
        <v/>
      </c>
      <c r="F59" s="38" t="str">
        <f>IF($A59="","",'Risk Register'!E59)</f>
        <v/>
      </c>
      <c r="G59" s="37" t="str">
        <f>IF($A59="","",'Risk Register'!H59)</f>
        <v/>
      </c>
      <c r="H59" s="37" t="str">
        <f>IF($A59="","",'Risk Register'!M59)</f>
        <v/>
      </c>
      <c r="I59" s="37" t="str">
        <f>IF($A59="","",'Risk Register'!N59)</f>
        <v/>
      </c>
      <c r="J59" s="37" t="str">
        <f>IF($A59="","",'Risk Register'!O59)</f>
        <v/>
      </c>
      <c r="K59" s="37" t="str">
        <f>IF($A59="","",'Risk Register'!P59)</f>
        <v/>
      </c>
      <c r="L59" s="37" t="str">
        <f>IF($A59="","",'Risk Register'!S59)</f>
        <v/>
      </c>
      <c r="M59" s="37" t="str">
        <f>IF($A59="","",'Risk Register'!T59)</f>
        <v/>
      </c>
      <c r="N59" s="38" t="str">
        <f>IF($A59="","",'Risk Register'!U59)</f>
        <v/>
      </c>
      <c r="O59" s="38" t="str">
        <f>IF($A59="","",'Risk Register'!Y59)</f>
        <v/>
      </c>
      <c r="P59" s="38" t="str">
        <f>IF($A59="","",'Risk Register'!J59&amp;"")</f>
        <v/>
      </c>
      <c r="Q59" s="37" t="str">
        <f>IF($A59="","",'RCM Summary'!J59)</f>
        <v/>
      </c>
      <c r="R59" s="37" t="str">
        <f>IF($A59="","",'Risk Register'!AC59)</f>
        <v/>
      </c>
      <c r="S59" s="37" t="str">
        <f>IF($A59="","",'Risk Register'!AD59)</f>
        <v/>
      </c>
      <c r="T59" s="45" t="str">
        <f>IF($A59="","",'Risk Register'!X59)</f>
        <v/>
      </c>
      <c r="U59" s="37" t="str">
        <f>IF($A59="","",IFERROR(INDEX(Appetite!$J$6:$J$17,MATCH('Risk Register'!D59,Appetite!$A$6:$A$17,0)),""))</f>
        <v/>
      </c>
      <c r="V59" s="38" t="str">
        <f>IF($A59="","",'Risk Register'!AK59)</f>
        <v/>
      </c>
    </row>
    <row r="60" spans="1:22" x14ac:dyDescent="0.35">
      <c r="A60" s="45" t="str">
        <f>IF('Risk Register'!A60="","",Methodology!$B$4)</f>
        <v/>
      </c>
      <c r="B60" s="37" t="str">
        <f t="shared" si="1"/>
        <v/>
      </c>
      <c r="C60" s="38" t="str">
        <f>IF($A60="","",'Risk Register'!A60)</f>
        <v/>
      </c>
      <c r="D60" s="44" t="str">
        <f>IF($A60="","",'Risk Register'!B60)</f>
        <v/>
      </c>
      <c r="E60" s="38" t="str">
        <f>IF($A60="","",'Risk Register'!D60)</f>
        <v/>
      </c>
      <c r="F60" s="38" t="str">
        <f>IF($A60="","",'Risk Register'!E60)</f>
        <v/>
      </c>
      <c r="G60" s="37" t="str">
        <f>IF($A60="","",'Risk Register'!H60)</f>
        <v/>
      </c>
      <c r="H60" s="37" t="str">
        <f>IF($A60="","",'Risk Register'!M60)</f>
        <v/>
      </c>
      <c r="I60" s="37" t="str">
        <f>IF($A60="","",'Risk Register'!N60)</f>
        <v/>
      </c>
      <c r="J60" s="37" t="str">
        <f>IF($A60="","",'Risk Register'!O60)</f>
        <v/>
      </c>
      <c r="K60" s="37" t="str">
        <f>IF($A60="","",'Risk Register'!P60)</f>
        <v/>
      </c>
      <c r="L60" s="37" t="str">
        <f>IF($A60="","",'Risk Register'!S60)</f>
        <v/>
      </c>
      <c r="M60" s="37" t="str">
        <f>IF($A60="","",'Risk Register'!T60)</f>
        <v/>
      </c>
      <c r="N60" s="38" t="str">
        <f>IF($A60="","",'Risk Register'!U60)</f>
        <v/>
      </c>
      <c r="O60" s="38" t="str">
        <f>IF($A60="","",'Risk Register'!Y60)</f>
        <v/>
      </c>
      <c r="P60" s="38" t="str">
        <f>IF($A60="","",'Risk Register'!J60&amp;"")</f>
        <v/>
      </c>
      <c r="Q60" s="37" t="str">
        <f>IF($A60="","",'RCM Summary'!J60)</f>
        <v/>
      </c>
      <c r="R60" s="37" t="str">
        <f>IF($A60="","",'Risk Register'!AC60)</f>
        <v/>
      </c>
      <c r="S60" s="37" t="str">
        <f>IF($A60="","",'Risk Register'!AD60)</f>
        <v/>
      </c>
      <c r="T60" s="45" t="str">
        <f>IF($A60="","",'Risk Register'!X60)</f>
        <v/>
      </c>
      <c r="U60" s="37" t="str">
        <f>IF($A60="","",IFERROR(INDEX(Appetite!$J$6:$J$17,MATCH('Risk Register'!D60,Appetite!$A$6:$A$17,0)),""))</f>
        <v/>
      </c>
      <c r="V60" s="38" t="str">
        <f>IF($A60="","",'Risk Register'!AK60)</f>
        <v/>
      </c>
    </row>
    <row r="61" spans="1:22" x14ac:dyDescent="0.35">
      <c r="A61" s="45" t="str">
        <f>IF('Risk Register'!A61="","",Methodology!$B$4)</f>
        <v/>
      </c>
      <c r="B61" s="37" t="str">
        <f t="shared" si="1"/>
        <v/>
      </c>
      <c r="C61" s="38" t="str">
        <f>IF($A61="","",'Risk Register'!A61)</f>
        <v/>
      </c>
      <c r="D61" s="44" t="str">
        <f>IF($A61="","",'Risk Register'!B61)</f>
        <v/>
      </c>
      <c r="E61" s="38" t="str">
        <f>IF($A61="","",'Risk Register'!D61)</f>
        <v/>
      </c>
      <c r="F61" s="38" t="str">
        <f>IF($A61="","",'Risk Register'!E61)</f>
        <v/>
      </c>
      <c r="G61" s="37" t="str">
        <f>IF($A61="","",'Risk Register'!H61)</f>
        <v/>
      </c>
      <c r="H61" s="37" t="str">
        <f>IF($A61="","",'Risk Register'!M61)</f>
        <v/>
      </c>
      <c r="I61" s="37" t="str">
        <f>IF($A61="","",'Risk Register'!N61)</f>
        <v/>
      </c>
      <c r="J61" s="37" t="str">
        <f>IF($A61="","",'Risk Register'!O61)</f>
        <v/>
      </c>
      <c r="K61" s="37" t="str">
        <f>IF($A61="","",'Risk Register'!P61)</f>
        <v/>
      </c>
      <c r="L61" s="37" t="str">
        <f>IF($A61="","",'Risk Register'!S61)</f>
        <v/>
      </c>
      <c r="M61" s="37" t="str">
        <f>IF($A61="","",'Risk Register'!T61)</f>
        <v/>
      </c>
      <c r="N61" s="38" t="str">
        <f>IF($A61="","",'Risk Register'!U61)</f>
        <v/>
      </c>
      <c r="O61" s="38" t="str">
        <f>IF($A61="","",'Risk Register'!Y61)</f>
        <v/>
      </c>
      <c r="P61" s="38" t="str">
        <f>IF($A61="","",'Risk Register'!J61&amp;"")</f>
        <v/>
      </c>
      <c r="Q61" s="37" t="str">
        <f>IF($A61="","",'RCM Summary'!J61)</f>
        <v/>
      </c>
      <c r="R61" s="37" t="str">
        <f>IF($A61="","",'Risk Register'!AC61)</f>
        <v/>
      </c>
      <c r="S61" s="37" t="str">
        <f>IF($A61="","",'Risk Register'!AD61)</f>
        <v/>
      </c>
      <c r="T61" s="45" t="str">
        <f>IF($A61="","",'Risk Register'!X61)</f>
        <v/>
      </c>
      <c r="U61" s="37" t="str">
        <f>IF($A61="","",IFERROR(INDEX(Appetite!$J$6:$J$17,MATCH('Risk Register'!D61,Appetite!$A$6:$A$17,0)),""))</f>
        <v/>
      </c>
      <c r="V61" s="38" t="str">
        <f>IF($A61="","",'Risk Register'!AK61)</f>
        <v/>
      </c>
    </row>
    <row r="62" spans="1:22" x14ac:dyDescent="0.35">
      <c r="A62" s="45" t="str">
        <f>IF('Risk Register'!A62="","",Methodology!$B$4)</f>
        <v/>
      </c>
      <c r="B62" s="37" t="str">
        <f t="shared" si="1"/>
        <v/>
      </c>
      <c r="C62" s="38" t="str">
        <f>IF($A62="","",'Risk Register'!A62)</f>
        <v/>
      </c>
      <c r="D62" s="44" t="str">
        <f>IF($A62="","",'Risk Register'!B62)</f>
        <v/>
      </c>
      <c r="E62" s="38" t="str">
        <f>IF($A62="","",'Risk Register'!D62)</f>
        <v/>
      </c>
      <c r="F62" s="38" t="str">
        <f>IF($A62="","",'Risk Register'!E62)</f>
        <v/>
      </c>
      <c r="G62" s="37" t="str">
        <f>IF($A62="","",'Risk Register'!H62)</f>
        <v/>
      </c>
      <c r="H62" s="37" t="str">
        <f>IF($A62="","",'Risk Register'!M62)</f>
        <v/>
      </c>
      <c r="I62" s="37" t="str">
        <f>IF($A62="","",'Risk Register'!N62)</f>
        <v/>
      </c>
      <c r="J62" s="37" t="str">
        <f>IF($A62="","",'Risk Register'!O62)</f>
        <v/>
      </c>
      <c r="K62" s="37" t="str">
        <f>IF($A62="","",'Risk Register'!P62)</f>
        <v/>
      </c>
      <c r="L62" s="37" t="str">
        <f>IF($A62="","",'Risk Register'!S62)</f>
        <v/>
      </c>
      <c r="M62" s="37" t="str">
        <f>IF($A62="","",'Risk Register'!T62)</f>
        <v/>
      </c>
      <c r="N62" s="38" t="str">
        <f>IF($A62="","",'Risk Register'!U62)</f>
        <v/>
      </c>
      <c r="O62" s="38" t="str">
        <f>IF($A62="","",'Risk Register'!Y62)</f>
        <v/>
      </c>
      <c r="P62" s="38" t="str">
        <f>IF($A62="","",'Risk Register'!J62&amp;"")</f>
        <v/>
      </c>
      <c r="Q62" s="37" t="str">
        <f>IF($A62="","",'RCM Summary'!J62)</f>
        <v/>
      </c>
      <c r="R62" s="37" t="str">
        <f>IF($A62="","",'Risk Register'!AC62)</f>
        <v/>
      </c>
      <c r="S62" s="37" t="str">
        <f>IF($A62="","",'Risk Register'!AD62)</f>
        <v/>
      </c>
      <c r="T62" s="45" t="str">
        <f>IF($A62="","",'Risk Register'!X62)</f>
        <v/>
      </c>
      <c r="U62" s="37" t="str">
        <f>IF($A62="","",IFERROR(INDEX(Appetite!$J$6:$J$17,MATCH('Risk Register'!D62,Appetite!$A$6:$A$17,0)),""))</f>
        <v/>
      </c>
      <c r="V62" s="38" t="str">
        <f>IF($A62="","",'Risk Register'!AK62)</f>
        <v/>
      </c>
    </row>
    <row r="63" spans="1:22" x14ac:dyDescent="0.35">
      <c r="A63" s="45" t="str">
        <f>IF('Risk Register'!A63="","",Methodology!$B$4)</f>
        <v/>
      </c>
      <c r="B63" s="37" t="str">
        <f t="shared" si="1"/>
        <v/>
      </c>
      <c r="C63" s="38" t="str">
        <f>IF($A63="","",'Risk Register'!A63)</f>
        <v/>
      </c>
      <c r="D63" s="44" t="str">
        <f>IF($A63="","",'Risk Register'!B63)</f>
        <v/>
      </c>
      <c r="E63" s="38" t="str">
        <f>IF($A63="","",'Risk Register'!D63)</f>
        <v/>
      </c>
      <c r="F63" s="38" t="str">
        <f>IF($A63="","",'Risk Register'!E63)</f>
        <v/>
      </c>
      <c r="G63" s="37" t="str">
        <f>IF($A63="","",'Risk Register'!H63)</f>
        <v/>
      </c>
      <c r="H63" s="37" t="str">
        <f>IF($A63="","",'Risk Register'!M63)</f>
        <v/>
      </c>
      <c r="I63" s="37" t="str">
        <f>IF($A63="","",'Risk Register'!N63)</f>
        <v/>
      </c>
      <c r="J63" s="37" t="str">
        <f>IF($A63="","",'Risk Register'!O63)</f>
        <v/>
      </c>
      <c r="K63" s="37" t="str">
        <f>IF($A63="","",'Risk Register'!P63)</f>
        <v/>
      </c>
      <c r="L63" s="37" t="str">
        <f>IF($A63="","",'Risk Register'!S63)</f>
        <v/>
      </c>
      <c r="M63" s="37" t="str">
        <f>IF($A63="","",'Risk Register'!T63)</f>
        <v/>
      </c>
      <c r="N63" s="38" t="str">
        <f>IF($A63="","",'Risk Register'!U63)</f>
        <v/>
      </c>
      <c r="O63" s="38" t="str">
        <f>IF($A63="","",'Risk Register'!Y63)</f>
        <v/>
      </c>
      <c r="P63" s="38" t="str">
        <f>IF($A63="","",'Risk Register'!J63&amp;"")</f>
        <v/>
      </c>
      <c r="Q63" s="37" t="str">
        <f>IF($A63="","",'RCM Summary'!J63)</f>
        <v/>
      </c>
      <c r="R63" s="37" t="str">
        <f>IF($A63="","",'Risk Register'!AC63)</f>
        <v/>
      </c>
      <c r="S63" s="37" t="str">
        <f>IF($A63="","",'Risk Register'!AD63)</f>
        <v/>
      </c>
      <c r="T63" s="45" t="str">
        <f>IF($A63="","",'Risk Register'!X63)</f>
        <v/>
      </c>
      <c r="U63" s="37" t="str">
        <f>IF($A63="","",IFERROR(INDEX(Appetite!$J$6:$J$17,MATCH('Risk Register'!D63,Appetite!$A$6:$A$17,0)),""))</f>
        <v/>
      </c>
      <c r="V63" s="38" t="str">
        <f>IF($A63="","",'Risk Register'!AK63)</f>
        <v/>
      </c>
    </row>
    <row r="64" spans="1:22" x14ac:dyDescent="0.35">
      <c r="A64" s="45" t="str">
        <f>IF('Risk Register'!A64="","",Methodology!$B$4)</f>
        <v/>
      </c>
      <c r="B64" s="37" t="str">
        <f t="shared" si="1"/>
        <v/>
      </c>
      <c r="C64" s="38" t="str">
        <f>IF($A64="","",'Risk Register'!A64)</f>
        <v/>
      </c>
      <c r="D64" s="44" t="str">
        <f>IF($A64="","",'Risk Register'!B64)</f>
        <v/>
      </c>
      <c r="E64" s="38" t="str">
        <f>IF($A64="","",'Risk Register'!D64)</f>
        <v/>
      </c>
      <c r="F64" s="38" t="str">
        <f>IF($A64="","",'Risk Register'!E64)</f>
        <v/>
      </c>
      <c r="G64" s="37" t="str">
        <f>IF($A64="","",'Risk Register'!H64)</f>
        <v/>
      </c>
      <c r="H64" s="37" t="str">
        <f>IF($A64="","",'Risk Register'!M64)</f>
        <v/>
      </c>
      <c r="I64" s="37" t="str">
        <f>IF($A64="","",'Risk Register'!N64)</f>
        <v/>
      </c>
      <c r="J64" s="37" t="str">
        <f>IF($A64="","",'Risk Register'!O64)</f>
        <v/>
      </c>
      <c r="K64" s="37" t="str">
        <f>IF($A64="","",'Risk Register'!P64)</f>
        <v/>
      </c>
      <c r="L64" s="37" t="str">
        <f>IF($A64="","",'Risk Register'!S64)</f>
        <v/>
      </c>
      <c r="M64" s="37" t="str">
        <f>IF($A64="","",'Risk Register'!T64)</f>
        <v/>
      </c>
      <c r="N64" s="38" t="str">
        <f>IF($A64="","",'Risk Register'!U64)</f>
        <v/>
      </c>
      <c r="O64" s="38" t="str">
        <f>IF($A64="","",'Risk Register'!Y64)</f>
        <v/>
      </c>
      <c r="P64" s="38" t="str">
        <f>IF($A64="","",'Risk Register'!J64&amp;"")</f>
        <v/>
      </c>
      <c r="Q64" s="37" t="str">
        <f>IF($A64="","",'RCM Summary'!J64)</f>
        <v/>
      </c>
      <c r="R64" s="37" t="str">
        <f>IF($A64="","",'Risk Register'!AC64)</f>
        <v/>
      </c>
      <c r="S64" s="37" t="str">
        <f>IF($A64="","",'Risk Register'!AD64)</f>
        <v/>
      </c>
      <c r="T64" s="45" t="str">
        <f>IF($A64="","",'Risk Register'!X64)</f>
        <v/>
      </c>
      <c r="U64" s="37" t="str">
        <f>IF($A64="","",IFERROR(INDEX(Appetite!$J$6:$J$17,MATCH('Risk Register'!D64,Appetite!$A$6:$A$17,0)),""))</f>
        <v/>
      </c>
      <c r="V64" s="38" t="str">
        <f>IF($A64="","",'Risk Register'!AK64)</f>
        <v/>
      </c>
    </row>
    <row r="65" spans="1:22" x14ac:dyDescent="0.35">
      <c r="A65" s="45" t="str">
        <f>IF('Risk Register'!A65="","",Methodology!$B$4)</f>
        <v/>
      </c>
      <c r="B65" s="37" t="str">
        <f t="shared" si="1"/>
        <v/>
      </c>
      <c r="C65" s="38" t="str">
        <f>IF($A65="","",'Risk Register'!A65)</f>
        <v/>
      </c>
      <c r="D65" s="44" t="str">
        <f>IF($A65="","",'Risk Register'!B65)</f>
        <v/>
      </c>
      <c r="E65" s="38" t="str">
        <f>IF($A65="","",'Risk Register'!D65)</f>
        <v/>
      </c>
      <c r="F65" s="38" t="str">
        <f>IF($A65="","",'Risk Register'!E65)</f>
        <v/>
      </c>
      <c r="G65" s="37" t="str">
        <f>IF($A65="","",'Risk Register'!H65)</f>
        <v/>
      </c>
      <c r="H65" s="37" t="str">
        <f>IF($A65="","",'Risk Register'!M65)</f>
        <v/>
      </c>
      <c r="I65" s="37" t="str">
        <f>IF($A65="","",'Risk Register'!N65)</f>
        <v/>
      </c>
      <c r="J65" s="37" t="str">
        <f>IF($A65="","",'Risk Register'!O65)</f>
        <v/>
      </c>
      <c r="K65" s="37" t="str">
        <f>IF($A65="","",'Risk Register'!P65)</f>
        <v/>
      </c>
      <c r="L65" s="37" t="str">
        <f>IF($A65="","",'Risk Register'!S65)</f>
        <v/>
      </c>
      <c r="M65" s="37" t="str">
        <f>IF($A65="","",'Risk Register'!T65)</f>
        <v/>
      </c>
      <c r="N65" s="38" t="str">
        <f>IF($A65="","",'Risk Register'!U65)</f>
        <v/>
      </c>
      <c r="O65" s="38" t="str">
        <f>IF($A65="","",'Risk Register'!Y65)</f>
        <v/>
      </c>
      <c r="P65" s="38" t="str">
        <f>IF($A65="","",'Risk Register'!J65&amp;"")</f>
        <v/>
      </c>
      <c r="Q65" s="37" t="str">
        <f>IF($A65="","",'RCM Summary'!J65)</f>
        <v/>
      </c>
      <c r="R65" s="37" t="str">
        <f>IF($A65="","",'Risk Register'!AC65)</f>
        <v/>
      </c>
      <c r="S65" s="37" t="str">
        <f>IF($A65="","",'Risk Register'!AD65)</f>
        <v/>
      </c>
      <c r="T65" s="45" t="str">
        <f>IF($A65="","",'Risk Register'!X65)</f>
        <v/>
      </c>
      <c r="U65" s="37" t="str">
        <f>IF($A65="","",IFERROR(INDEX(Appetite!$J$6:$J$17,MATCH('Risk Register'!D65,Appetite!$A$6:$A$17,0)),""))</f>
        <v/>
      </c>
      <c r="V65" s="38" t="str">
        <f>IF($A65="","",'Risk Register'!AK65)</f>
        <v/>
      </c>
    </row>
    <row r="66" spans="1:22" x14ac:dyDescent="0.35">
      <c r="A66" s="45" t="str">
        <f>IF('Risk Register'!A66="","",Methodology!$B$4)</f>
        <v/>
      </c>
      <c r="B66" s="37" t="str">
        <f t="shared" si="1"/>
        <v/>
      </c>
      <c r="C66" s="38" t="str">
        <f>IF($A66="","",'Risk Register'!A66)</f>
        <v/>
      </c>
      <c r="D66" s="44" t="str">
        <f>IF($A66="","",'Risk Register'!B66)</f>
        <v/>
      </c>
      <c r="E66" s="38" t="str">
        <f>IF($A66="","",'Risk Register'!D66)</f>
        <v/>
      </c>
      <c r="F66" s="38" t="str">
        <f>IF($A66="","",'Risk Register'!E66)</f>
        <v/>
      </c>
      <c r="G66" s="37" t="str">
        <f>IF($A66="","",'Risk Register'!H66)</f>
        <v/>
      </c>
      <c r="H66" s="37" t="str">
        <f>IF($A66="","",'Risk Register'!M66)</f>
        <v/>
      </c>
      <c r="I66" s="37" t="str">
        <f>IF($A66="","",'Risk Register'!N66)</f>
        <v/>
      </c>
      <c r="J66" s="37" t="str">
        <f>IF($A66="","",'Risk Register'!O66)</f>
        <v/>
      </c>
      <c r="K66" s="37" t="str">
        <f>IF($A66="","",'Risk Register'!P66)</f>
        <v/>
      </c>
      <c r="L66" s="37" t="str">
        <f>IF($A66="","",'Risk Register'!S66)</f>
        <v/>
      </c>
      <c r="M66" s="37" t="str">
        <f>IF($A66="","",'Risk Register'!T66)</f>
        <v/>
      </c>
      <c r="N66" s="38" t="str">
        <f>IF($A66="","",'Risk Register'!U66)</f>
        <v/>
      </c>
      <c r="O66" s="38" t="str">
        <f>IF($A66="","",'Risk Register'!Y66)</f>
        <v/>
      </c>
      <c r="P66" s="38" t="str">
        <f>IF($A66="","",'Risk Register'!J66&amp;"")</f>
        <v/>
      </c>
      <c r="Q66" s="37" t="str">
        <f>IF($A66="","",'RCM Summary'!J66)</f>
        <v/>
      </c>
      <c r="R66" s="37" t="str">
        <f>IF($A66="","",'Risk Register'!AC66)</f>
        <v/>
      </c>
      <c r="S66" s="37" t="str">
        <f>IF($A66="","",'Risk Register'!AD66)</f>
        <v/>
      </c>
      <c r="T66" s="45" t="str">
        <f>IF($A66="","",'Risk Register'!X66)</f>
        <v/>
      </c>
      <c r="U66" s="37" t="str">
        <f>IF($A66="","",IFERROR(INDEX(Appetite!$J$6:$J$17,MATCH('Risk Register'!D66,Appetite!$A$6:$A$17,0)),""))</f>
        <v/>
      </c>
      <c r="V66" s="38" t="str">
        <f>IF($A66="","",'Risk Register'!AK66)</f>
        <v/>
      </c>
    </row>
    <row r="67" spans="1:22" x14ac:dyDescent="0.35">
      <c r="A67" s="45" t="str">
        <f>IF('Risk Register'!A67="","",Methodology!$B$4)</f>
        <v/>
      </c>
      <c r="B67" s="37" t="str">
        <f t="shared" si="1"/>
        <v/>
      </c>
      <c r="C67" s="38" t="str">
        <f>IF($A67="","",'Risk Register'!A67)</f>
        <v/>
      </c>
      <c r="D67" s="44" t="str">
        <f>IF($A67="","",'Risk Register'!B67)</f>
        <v/>
      </c>
      <c r="E67" s="38" t="str">
        <f>IF($A67="","",'Risk Register'!D67)</f>
        <v/>
      </c>
      <c r="F67" s="38" t="str">
        <f>IF($A67="","",'Risk Register'!E67)</f>
        <v/>
      </c>
      <c r="G67" s="37" t="str">
        <f>IF($A67="","",'Risk Register'!H67)</f>
        <v/>
      </c>
      <c r="H67" s="37" t="str">
        <f>IF($A67="","",'Risk Register'!M67)</f>
        <v/>
      </c>
      <c r="I67" s="37" t="str">
        <f>IF($A67="","",'Risk Register'!N67)</f>
        <v/>
      </c>
      <c r="J67" s="37" t="str">
        <f>IF($A67="","",'Risk Register'!O67)</f>
        <v/>
      </c>
      <c r="K67" s="37" t="str">
        <f>IF($A67="","",'Risk Register'!P67)</f>
        <v/>
      </c>
      <c r="L67" s="37" t="str">
        <f>IF($A67="","",'Risk Register'!S67)</f>
        <v/>
      </c>
      <c r="M67" s="37" t="str">
        <f>IF($A67="","",'Risk Register'!T67)</f>
        <v/>
      </c>
      <c r="N67" s="38" t="str">
        <f>IF($A67="","",'Risk Register'!U67)</f>
        <v/>
      </c>
      <c r="O67" s="38" t="str">
        <f>IF($A67="","",'Risk Register'!Y67)</f>
        <v/>
      </c>
      <c r="P67" s="38" t="str">
        <f>IF($A67="","",'Risk Register'!J67&amp;"")</f>
        <v/>
      </c>
      <c r="Q67" s="37" t="str">
        <f>IF($A67="","",'RCM Summary'!J67)</f>
        <v/>
      </c>
      <c r="R67" s="37" t="str">
        <f>IF($A67="","",'Risk Register'!AC67)</f>
        <v/>
      </c>
      <c r="S67" s="37" t="str">
        <f>IF($A67="","",'Risk Register'!AD67)</f>
        <v/>
      </c>
      <c r="T67" s="45" t="str">
        <f>IF($A67="","",'Risk Register'!X67)</f>
        <v/>
      </c>
      <c r="U67" s="37" t="str">
        <f>IF($A67="","",IFERROR(INDEX(Appetite!$J$6:$J$17,MATCH('Risk Register'!D67,Appetite!$A$6:$A$17,0)),""))</f>
        <v/>
      </c>
      <c r="V67" s="38" t="str">
        <f>IF($A67="","",'Risk Register'!AK67)</f>
        <v/>
      </c>
    </row>
    <row r="68" spans="1:22" x14ac:dyDescent="0.35">
      <c r="A68" s="45" t="str">
        <f>IF('Risk Register'!A68="","",Methodology!$B$4)</f>
        <v/>
      </c>
      <c r="B68" s="37" t="str">
        <f t="shared" si="1"/>
        <v/>
      </c>
      <c r="C68" s="38" t="str">
        <f>IF($A68="","",'Risk Register'!A68)</f>
        <v/>
      </c>
      <c r="D68" s="44" t="str">
        <f>IF($A68="","",'Risk Register'!B68)</f>
        <v/>
      </c>
      <c r="E68" s="38" t="str">
        <f>IF($A68="","",'Risk Register'!D68)</f>
        <v/>
      </c>
      <c r="F68" s="38" t="str">
        <f>IF($A68="","",'Risk Register'!E68)</f>
        <v/>
      </c>
      <c r="G68" s="37" t="str">
        <f>IF($A68="","",'Risk Register'!H68)</f>
        <v/>
      </c>
      <c r="H68" s="37" t="str">
        <f>IF($A68="","",'Risk Register'!M68)</f>
        <v/>
      </c>
      <c r="I68" s="37" t="str">
        <f>IF($A68="","",'Risk Register'!N68)</f>
        <v/>
      </c>
      <c r="J68" s="37" t="str">
        <f>IF($A68="","",'Risk Register'!O68)</f>
        <v/>
      </c>
      <c r="K68" s="37" t="str">
        <f>IF($A68="","",'Risk Register'!P68)</f>
        <v/>
      </c>
      <c r="L68" s="37" t="str">
        <f>IF($A68="","",'Risk Register'!S68)</f>
        <v/>
      </c>
      <c r="M68" s="37" t="str">
        <f>IF($A68="","",'Risk Register'!T68)</f>
        <v/>
      </c>
      <c r="N68" s="38" t="str">
        <f>IF($A68="","",'Risk Register'!U68)</f>
        <v/>
      </c>
      <c r="O68" s="38" t="str">
        <f>IF($A68="","",'Risk Register'!Y68)</f>
        <v/>
      </c>
      <c r="P68" s="38" t="str">
        <f>IF($A68="","",'Risk Register'!J68&amp;"")</f>
        <v/>
      </c>
      <c r="Q68" s="37" t="str">
        <f>IF($A68="","",'RCM Summary'!J68)</f>
        <v/>
      </c>
      <c r="R68" s="37" t="str">
        <f>IF($A68="","",'Risk Register'!AC68)</f>
        <v/>
      </c>
      <c r="S68" s="37" t="str">
        <f>IF($A68="","",'Risk Register'!AD68)</f>
        <v/>
      </c>
      <c r="T68" s="45" t="str">
        <f>IF($A68="","",'Risk Register'!X68)</f>
        <v/>
      </c>
      <c r="U68" s="37" t="str">
        <f>IF($A68="","",IFERROR(INDEX(Appetite!$J$6:$J$17,MATCH('Risk Register'!D68,Appetite!$A$6:$A$17,0)),""))</f>
        <v/>
      </c>
      <c r="V68" s="38" t="str">
        <f>IF($A68="","",'Risk Register'!AK68)</f>
        <v/>
      </c>
    </row>
    <row r="69" spans="1:22" x14ac:dyDescent="0.35">
      <c r="A69" s="45" t="str">
        <f>IF('Risk Register'!A69="","",Methodology!$B$4)</f>
        <v/>
      </c>
      <c r="B69" s="37" t="str">
        <f t="shared" si="1"/>
        <v/>
      </c>
      <c r="C69" s="38" t="str">
        <f>IF($A69="","",'Risk Register'!A69)</f>
        <v/>
      </c>
      <c r="D69" s="44" t="str">
        <f>IF($A69="","",'Risk Register'!B69)</f>
        <v/>
      </c>
      <c r="E69" s="38" t="str">
        <f>IF($A69="","",'Risk Register'!D69)</f>
        <v/>
      </c>
      <c r="F69" s="38" t="str">
        <f>IF($A69="","",'Risk Register'!E69)</f>
        <v/>
      </c>
      <c r="G69" s="37" t="str">
        <f>IF($A69="","",'Risk Register'!H69)</f>
        <v/>
      </c>
      <c r="H69" s="37" t="str">
        <f>IF($A69="","",'Risk Register'!M69)</f>
        <v/>
      </c>
      <c r="I69" s="37" t="str">
        <f>IF($A69="","",'Risk Register'!N69)</f>
        <v/>
      </c>
      <c r="J69" s="37" t="str">
        <f>IF($A69="","",'Risk Register'!O69)</f>
        <v/>
      </c>
      <c r="K69" s="37" t="str">
        <f>IF($A69="","",'Risk Register'!P69)</f>
        <v/>
      </c>
      <c r="L69" s="37" t="str">
        <f>IF($A69="","",'Risk Register'!S69)</f>
        <v/>
      </c>
      <c r="M69" s="37" t="str">
        <f>IF($A69="","",'Risk Register'!T69)</f>
        <v/>
      </c>
      <c r="N69" s="38" t="str">
        <f>IF($A69="","",'Risk Register'!U69)</f>
        <v/>
      </c>
      <c r="O69" s="38" t="str">
        <f>IF($A69="","",'Risk Register'!Y69)</f>
        <v/>
      </c>
      <c r="P69" s="38" t="str">
        <f>IF($A69="","",'Risk Register'!J69&amp;"")</f>
        <v/>
      </c>
      <c r="Q69" s="37" t="str">
        <f>IF($A69="","",'RCM Summary'!J69)</f>
        <v/>
      </c>
      <c r="R69" s="37" t="str">
        <f>IF($A69="","",'Risk Register'!AC69)</f>
        <v/>
      </c>
      <c r="S69" s="37" t="str">
        <f>IF($A69="","",'Risk Register'!AD69)</f>
        <v/>
      </c>
      <c r="T69" s="45" t="str">
        <f>IF($A69="","",'Risk Register'!X69)</f>
        <v/>
      </c>
      <c r="U69" s="37" t="str">
        <f>IF($A69="","",IFERROR(INDEX(Appetite!$J$6:$J$17,MATCH('Risk Register'!D69,Appetite!$A$6:$A$17,0)),""))</f>
        <v/>
      </c>
      <c r="V69" s="38" t="str">
        <f>IF($A69="","",'Risk Register'!AK69)</f>
        <v/>
      </c>
    </row>
    <row r="70" spans="1:22" x14ac:dyDescent="0.35">
      <c r="A70" s="45" t="str">
        <f>IF('Risk Register'!A70="","",Methodology!$B$4)</f>
        <v/>
      </c>
      <c r="B70" s="37" t="str">
        <f t="shared" ref="B70:B101" si="2">IF(A70="","",$B$3)</f>
        <v/>
      </c>
      <c r="C70" s="38" t="str">
        <f>IF($A70="","",'Risk Register'!A70)</f>
        <v/>
      </c>
      <c r="D70" s="44" t="str">
        <f>IF($A70="","",'Risk Register'!B70)</f>
        <v/>
      </c>
      <c r="E70" s="38" t="str">
        <f>IF($A70="","",'Risk Register'!D70)</f>
        <v/>
      </c>
      <c r="F70" s="38" t="str">
        <f>IF($A70="","",'Risk Register'!E70)</f>
        <v/>
      </c>
      <c r="G70" s="37" t="str">
        <f>IF($A70="","",'Risk Register'!H70)</f>
        <v/>
      </c>
      <c r="H70" s="37" t="str">
        <f>IF($A70="","",'Risk Register'!M70)</f>
        <v/>
      </c>
      <c r="I70" s="37" t="str">
        <f>IF($A70="","",'Risk Register'!N70)</f>
        <v/>
      </c>
      <c r="J70" s="37" t="str">
        <f>IF($A70="","",'Risk Register'!O70)</f>
        <v/>
      </c>
      <c r="K70" s="37" t="str">
        <f>IF($A70="","",'Risk Register'!P70)</f>
        <v/>
      </c>
      <c r="L70" s="37" t="str">
        <f>IF($A70="","",'Risk Register'!S70)</f>
        <v/>
      </c>
      <c r="M70" s="37" t="str">
        <f>IF($A70="","",'Risk Register'!T70)</f>
        <v/>
      </c>
      <c r="N70" s="38" t="str">
        <f>IF($A70="","",'Risk Register'!U70)</f>
        <v/>
      </c>
      <c r="O70" s="38" t="str">
        <f>IF($A70="","",'Risk Register'!Y70)</f>
        <v/>
      </c>
      <c r="P70" s="38" t="str">
        <f>IF($A70="","",'Risk Register'!J70&amp;"")</f>
        <v/>
      </c>
      <c r="Q70" s="37" t="str">
        <f>IF($A70="","",'RCM Summary'!J70)</f>
        <v/>
      </c>
      <c r="R70" s="37" t="str">
        <f>IF($A70="","",'Risk Register'!AC70)</f>
        <v/>
      </c>
      <c r="S70" s="37" t="str">
        <f>IF($A70="","",'Risk Register'!AD70)</f>
        <v/>
      </c>
      <c r="T70" s="45" t="str">
        <f>IF($A70="","",'Risk Register'!X70)</f>
        <v/>
      </c>
      <c r="U70" s="37" t="str">
        <f>IF($A70="","",IFERROR(INDEX(Appetite!$J$6:$J$17,MATCH('Risk Register'!D70,Appetite!$A$6:$A$17,0)),""))</f>
        <v/>
      </c>
      <c r="V70" s="38" t="str">
        <f>IF($A70="","",'Risk Register'!AK70)</f>
        <v/>
      </c>
    </row>
    <row r="71" spans="1:22" x14ac:dyDescent="0.35">
      <c r="A71" s="45" t="str">
        <f>IF('Risk Register'!A71="","",Methodology!$B$4)</f>
        <v/>
      </c>
      <c r="B71" s="37" t="str">
        <f t="shared" si="2"/>
        <v/>
      </c>
      <c r="C71" s="38" t="str">
        <f>IF($A71="","",'Risk Register'!A71)</f>
        <v/>
      </c>
      <c r="D71" s="44" t="str">
        <f>IF($A71="","",'Risk Register'!B71)</f>
        <v/>
      </c>
      <c r="E71" s="38" t="str">
        <f>IF($A71="","",'Risk Register'!D71)</f>
        <v/>
      </c>
      <c r="F71" s="38" t="str">
        <f>IF($A71="","",'Risk Register'!E71)</f>
        <v/>
      </c>
      <c r="G71" s="37" t="str">
        <f>IF($A71="","",'Risk Register'!H71)</f>
        <v/>
      </c>
      <c r="H71" s="37" t="str">
        <f>IF($A71="","",'Risk Register'!M71)</f>
        <v/>
      </c>
      <c r="I71" s="37" t="str">
        <f>IF($A71="","",'Risk Register'!N71)</f>
        <v/>
      </c>
      <c r="J71" s="37" t="str">
        <f>IF($A71="","",'Risk Register'!O71)</f>
        <v/>
      </c>
      <c r="K71" s="37" t="str">
        <f>IF($A71="","",'Risk Register'!P71)</f>
        <v/>
      </c>
      <c r="L71" s="37" t="str">
        <f>IF($A71="","",'Risk Register'!S71)</f>
        <v/>
      </c>
      <c r="M71" s="37" t="str">
        <f>IF($A71="","",'Risk Register'!T71)</f>
        <v/>
      </c>
      <c r="N71" s="38" t="str">
        <f>IF($A71="","",'Risk Register'!U71)</f>
        <v/>
      </c>
      <c r="O71" s="38" t="str">
        <f>IF($A71="","",'Risk Register'!Y71)</f>
        <v/>
      </c>
      <c r="P71" s="38" t="str">
        <f>IF($A71="","",'Risk Register'!J71&amp;"")</f>
        <v/>
      </c>
      <c r="Q71" s="37" t="str">
        <f>IF($A71="","",'RCM Summary'!J71)</f>
        <v/>
      </c>
      <c r="R71" s="37" t="str">
        <f>IF($A71="","",'Risk Register'!AC71)</f>
        <v/>
      </c>
      <c r="S71" s="37" t="str">
        <f>IF($A71="","",'Risk Register'!AD71)</f>
        <v/>
      </c>
      <c r="T71" s="45" t="str">
        <f>IF($A71="","",'Risk Register'!X71)</f>
        <v/>
      </c>
      <c r="U71" s="37" t="str">
        <f>IF($A71="","",IFERROR(INDEX(Appetite!$J$6:$J$17,MATCH('Risk Register'!D71,Appetite!$A$6:$A$17,0)),""))</f>
        <v/>
      </c>
      <c r="V71" s="38" t="str">
        <f>IF($A71="","",'Risk Register'!AK71)</f>
        <v/>
      </c>
    </row>
    <row r="72" spans="1:22" x14ac:dyDescent="0.35">
      <c r="A72" s="45" t="str">
        <f>IF('Risk Register'!A72="","",Methodology!$B$4)</f>
        <v/>
      </c>
      <c r="B72" s="37" t="str">
        <f t="shared" si="2"/>
        <v/>
      </c>
      <c r="C72" s="38" t="str">
        <f>IF($A72="","",'Risk Register'!A72)</f>
        <v/>
      </c>
      <c r="D72" s="44" t="str">
        <f>IF($A72="","",'Risk Register'!B72)</f>
        <v/>
      </c>
      <c r="E72" s="38" t="str">
        <f>IF($A72="","",'Risk Register'!D72)</f>
        <v/>
      </c>
      <c r="F72" s="38" t="str">
        <f>IF($A72="","",'Risk Register'!E72)</f>
        <v/>
      </c>
      <c r="G72" s="37" t="str">
        <f>IF($A72="","",'Risk Register'!H72)</f>
        <v/>
      </c>
      <c r="H72" s="37" t="str">
        <f>IF($A72="","",'Risk Register'!M72)</f>
        <v/>
      </c>
      <c r="I72" s="37" t="str">
        <f>IF($A72="","",'Risk Register'!N72)</f>
        <v/>
      </c>
      <c r="J72" s="37" t="str">
        <f>IF($A72="","",'Risk Register'!O72)</f>
        <v/>
      </c>
      <c r="K72" s="37" t="str">
        <f>IF($A72="","",'Risk Register'!P72)</f>
        <v/>
      </c>
      <c r="L72" s="37" t="str">
        <f>IF($A72="","",'Risk Register'!S72)</f>
        <v/>
      </c>
      <c r="M72" s="37" t="str">
        <f>IF($A72="","",'Risk Register'!T72)</f>
        <v/>
      </c>
      <c r="N72" s="38" t="str">
        <f>IF($A72="","",'Risk Register'!U72)</f>
        <v/>
      </c>
      <c r="O72" s="38" t="str">
        <f>IF($A72="","",'Risk Register'!Y72)</f>
        <v/>
      </c>
      <c r="P72" s="38" t="str">
        <f>IF($A72="","",'Risk Register'!J72&amp;"")</f>
        <v/>
      </c>
      <c r="Q72" s="37" t="str">
        <f>IF($A72="","",'RCM Summary'!J72)</f>
        <v/>
      </c>
      <c r="R72" s="37" t="str">
        <f>IF($A72="","",'Risk Register'!AC72)</f>
        <v/>
      </c>
      <c r="S72" s="37" t="str">
        <f>IF($A72="","",'Risk Register'!AD72)</f>
        <v/>
      </c>
      <c r="T72" s="45" t="str">
        <f>IF($A72="","",'Risk Register'!X72)</f>
        <v/>
      </c>
      <c r="U72" s="37" t="str">
        <f>IF($A72="","",IFERROR(INDEX(Appetite!$J$6:$J$17,MATCH('Risk Register'!D72,Appetite!$A$6:$A$17,0)),""))</f>
        <v/>
      </c>
      <c r="V72" s="38" t="str">
        <f>IF($A72="","",'Risk Register'!AK72)</f>
        <v/>
      </c>
    </row>
    <row r="73" spans="1:22" x14ac:dyDescent="0.35">
      <c r="A73" s="45" t="str">
        <f>IF('Risk Register'!A73="","",Methodology!$B$4)</f>
        <v/>
      </c>
      <c r="B73" s="37" t="str">
        <f t="shared" si="2"/>
        <v/>
      </c>
      <c r="C73" s="38" t="str">
        <f>IF($A73="","",'Risk Register'!A73)</f>
        <v/>
      </c>
      <c r="D73" s="44" t="str">
        <f>IF($A73="","",'Risk Register'!B73)</f>
        <v/>
      </c>
      <c r="E73" s="38" t="str">
        <f>IF($A73="","",'Risk Register'!D73)</f>
        <v/>
      </c>
      <c r="F73" s="38" t="str">
        <f>IF($A73="","",'Risk Register'!E73)</f>
        <v/>
      </c>
      <c r="G73" s="37" t="str">
        <f>IF($A73="","",'Risk Register'!H73)</f>
        <v/>
      </c>
      <c r="H73" s="37" t="str">
        <f>IF($A73="","",'Risk Register'!M73)</f>
        <v/>
      </c>
      <c r="I73" s="37" t="str">
        <f>IF($A73="","",'Risk Register'!N73)</f>
        <v/>
      </c>
      <c r="J73" s="37" t="str">
        <f>IF($A73="","",'Risk Register'!O73)</f>
        <v/>
      </c>
      <c r="K73" s="37" t="str">
        <f>IF($A73="","",'Risk Register'!P73)</f>
        <v/>
      </c>
      <c r="L73" s="37" t="str">
        <f>IF($A73="","",'Risk Register'!S73)</f>
        <v/>
      </c>
      <c r="M73" s="37" t="str">
        <f>IF($A73="","",'Risk Register'!T73)</f>
        <v/>
      </c>
      <c r="N73" s="38" t="str">
        <f>IF($A73="","",'Risk Register'!U73)</f>
        <v/>
      </c>
      <c r="O73" s="38" t="str">
        <f>IF($A73="","",'Risk Register'!Y73)</f>
        <v/>
      </c>
      <c r="P73" s="38" t="str">
        <f>IF($A73="","",'Risk Register'!J73&amp;"")</f>
        <v/>
      </c>
      <c r="Q73" s="37" t="str">
        <f>IF($A73="","",'RCM Summary'!J73)</f>
        <v/>
      </c>
      <c r="R73" s="37" t="str">
        <f>IF($A73="","",'Risk Register'!AC73)</f>
        <v/>
      </c>
      <c r="S73" s="37" t="str">
        <f>IF($A73="","",'Risk Register'!AD73)</f>
        <v/>
      </c>
      <c r="T73" s="45" t="str">
        <f>IF($A73="","",'Risk Register'!X73)</f>
        <v/>
      </c>
      <c r="U73" s="37" t="str">
        <f>IF($A73="","",IFERROR(INDEX(Appetite!$J$6:$J$17,MATCH('Risk Register'!D73,Appetite!$A$6:$A$17,0)),""))</f>
        <v/>
      </c>
      <c r="V73" s="38" t="str">
        <f>IF($A73="","",'Risk Register'!AK73)</f>
        <v/>
      </c>
    </row>
    <row r="74" spans="1:22" x14ac:dyDescent="0.35">
      <c r="A74" s="45" t="str">
        <f>IF('Risk Register'!A74="","",Methodology!$B$4)</f>
        <v/>
      </c>
      <c r="B74" s="37" t="str">
        <f t="shared" si="2"/>
        <v/>
      </c>
      <c r="C74" s="38" t="str">
        <f>IF($A74="","",'Risk Register'!A74)</f>
        <v/>
      </c>
      <c r="D74" s="44" t="str">
        <f>IF($A74="","",'Risk Register'!B74)</f>
        <v/>
      </c>
      <c r="E74" s="38" t="str">
        <f>IF($A74="","",'Risk Register'!D74)</f>
        <v/>
      </c>
      <c r="F74" s="38" t="str">
        <f>IF($A74="","",'Risk Register'!E74)</f>
        <v/>
      </c>
      <c r="G74" s="37" t="str">
        <f>IF($A74="","",'Risk Register'!H74)</f>
        <v/>
      </c>
      <c r="H74" s="37" t="str">
        <f>IF($A74="","",'Risk Register'!M74)</f>
        <v/>
      </c>
      <c r="I74" s="37" t="str">
        <f>IF($A74="","",'Risk Register'!N74)</f>
        <v/>
      </c>
      <c r="J74" s="37" t="str">
        <f>IF($A74="","",'Risk Register'!O74)</f>
        <v/>
      </c>
      <c r="K74" s="37" t="str">
        <f>IF($A74="","",'Risk Register'!P74)</f>
        <v/>
      </c>
      <c r="L74" s="37" t="str">
        <f>IF($A74="","",'Risk Register'!S74)</f>
        <v/>
      </c>
      <c r="M74" s="37" t="str">
        <f>IF($A74="","",'Risk Register'!T74)</f>
        <v/>
      </c>
      <c r="N74" s="38" t="str">
        <f>IF($A74="","",'Risk Register'!U74)</f>
        <v/>
      </c>
      <c r="O74" s="38" t="str">
        <f>IF($A74="","",'Risk Register'!Y74)</f>
        <v/>
      </c>
      <c r="P74" s="38" t="str">
        <f>IF($A74="","",'Risk Register'!J74&amp;"")</f>
        <v/>
      </c>
      <c r="Q74" s="37" t="str">
        <f>IF($A74="","",'RCM Summary'!J74)</f>
        <v/>
      </c>
      <c r="R74" s="37" t="str">
        <f>IF($A74="","",'Risk Register'!AC74)</f>
        <v/>
      </c>
      <c r="S74" s="37" t="str">
        <f>IF($A74="","",'Risk Register'!AD74)</f>
        <v/>
      </c>
      <c r="T74" s="45" t="str">
        <f>IF($A74="","",'Risk Register'!X74)</f>
        <v/>
      </c>
      <c r="U74" s="37" t="str">
        <f>IF($A74="","",IFERROR(INDEX(Appetite!$J$6:$J$17,MATCH('Risk Register'!D74,Appetite!$A$6:$A$17,0)),""))</f>
        <v/>
      </c>
      <c r="V74" s="38" t="str">
        <f>IF($A74="","",'Risk Register'!AK74)</f>
        <v/>
      </c>
    </row>
    <row r="75" spans="1:22" x14ac:dyDescent="0.35">
      <c r="A75" s="45" t="str">
        <f>IF('Risk Register'!A75="","",Methodology!$B$4)</f>
        <v/>
      </c>
      <c r="B75" s="37" t="str">
        <f t="shared" si="2"/>
        <v/>
      </c>
      <c r="C75" s="38" t="str">
        <f>IF($A75="","",'Risk Register'!A75)</f>
        <v/>
      </c>
      <c r="D75" s="44" t="str">
        <f>IF($A75="","",'Risk Register'!B75)</f>
        <v/>
      </c>
      <c r="E75" s="38" t="str">
        <f>IF($A75="","",'Risk Register'!D75)</f>
        <v/>
      </c>
      <c r="F75" s="38" t="str">
        <f>IF($A75="","",'Risk Register'!E75)</f>
        <v/>
      </c>
      <c r="G75" s="37" t="str">
        <f>IF($A75="","",'Risk Register'!H75)</f>
        <v/>
      </c>
      <c r="H75" s="37" t="str">
        <f>IF($A75="","",'Risk Register'!M75)</f>
        <v/>
      </c>
      <c r="I75" s="37" t="str">
        <f>IF($A75="","",'Risk Register'!N75)</f>
        <v/>
      </c>
      <c r="J75" s="37" t="str">
        <f>IF($A75="","",'Risk Register'!O75)</f>
        <v/>
      </c>
      <c r="K75" s="37" t="str">
        <f>IF($A75="","",'Risk Register'!P75)</f>
        <v/>
      </c>
      <c r="L75" s="37" t="str">
        <f>IF($A75="","",'Risk Register'!S75)</f>
        <v/>
      </c>
      <c r="M75" s="37" t="str">
        <f>IF($A75="","",'Risk Register'!T75)</f>
        <v/>
      </c>
      <c r="N75" s="38" t="str">
        <f>IF($A75="","",'Risk Register'!U75)</f>
        <v/>
      </c>
      <c r="O75" s="38" t="str">
        <f>IF($A75="","",'Risk Register'!Y75)</f>
        <v/>
      </c>
      <c r="P75" s="38" t="str">
        <f>IF($A75="","",'Risk Register'!J75&amp;"")</f>
        <v/>
      </c>
      <c r="Q75" s="37" t="str">
        <f>IF($A75="","",'RCM Summary'!J75)</f>
        <v/>
      </c>
      <c r="R75" s="37" t="str">
        <f>IF($A75="","",'Risk Register'!AC75)</f>
        <v/>
      </c>
      <c r="S75" s="37" t="str">
        <f>IF($A75="","",'Risk Register'!AD75)</f>
        <v/>
      </c>
      <c r="T75" s="45" t="str">
        <f>IF($A75="","",'Risk Register'!X75)</f>
        <v/>
      </c>
      <c r="U75" s="37" t="str">
        <f>IF($A75="","",IFERROR(INDEX(Appetite!$J$6:$J$17,MATCH('Risk Register'!D75,Appetite!$A$6:$A$17,0)),""))</f>
        <v/>
      </c>
      <c r="V75" s="38" t="str">
        <f>IF($A75="","",'Risk Register'!AK75)</f>
        <v/>
      </c>
    </row>
    <row r="76" spans="1:22" x14ac:dyDescent="0.35">
      <c r="A76" s="45" t="str">
        <f>IF('Risk Register'!A76="","",Methodology!$B$4)</f>
        <v/>
      </c>
      <c r="B76" s="37" t="str">
        <f t="shared" si="2"/>
        <v/>
      </c>
      <c r="C76" s="38" t="str">
        <f>IF($A76="","",'Risk Register'!A76)</f>
        <v/>
      </c>
      <c r="D76" s="44" t="str">
        <f>IF($A76="","",'Risk Register'!B76)</f>
        <v/>
      </c>
      <c r="E76" s="38" t="str">
        <f>IF($A76="","",'Risk Register'!D76)</f>
        <v/>
      </c>
      <c r="F76" s="38" t="str">
        <f>IF($A76="","",'Risk Register'!E76)</f>
        <v/>
      </c>
      <c r="G76" s="37" t="str">
        <f>IF($A76="","",'Risk Register'!H76)</f>
        <v/>
      </c>
      <c r="H76" s="37" t="str">
        <f>IF($A76="","",'Risk Register'!M76)</f>
        <v/>
      </c>
      <c r="I76" s="37" t="str">
        <f>IF($A76="","",'Risk Register'!N76)</f>
        <v/>
      </c>
      <c r="J76" s="37" t="str">
        <f>IF($A76="","",'Risk Register'!O76)</f>
        <v/>
      </c>
      <c r="K76" s="37" t="str">
        <f>IF($A76="","",'Risk Register'!P76)</f>
        <v/>
      </c>
      <c r="L76" s="37" t="str">
        <f>IF($A76="","",'Risk Register'!S76)</f>
        <v/>
      </c>
      <c r="M76" s="37" t="str">
        <f>IF($A76="","",'Risk Register'!T76)</f>
        <v/>
      </c>
      <c r="N76" s="38" t="str">
        <f>IF($A76="","",'Risk Register'!U76)</f>
        <v/>
      </c>
      <c r="O76" s="38" t="str">
        <f>IF($A76="","",'Risk Register'!Y76)</f>
        <v/>
      </c>
      <c r="P76" s="38" t="str">
        <f>IF($A76="","",'Risk Register'!J76&amp;"")</f>
        <v/>
      </c>
      <c r="Q76" s="37" t="str">
        <f>IF($A76="","",'RCM Summary'!J76)</f>
        <v/>
      </c>
      <c r="R76" s="37" t="str">
        <f>IF($A76="","",'Risk Register'!AC76)</f>
        <v/>
      </c>
      <c r="S76" s="37" t="str">
        <f>IF($A76="","",'Risk Register'!AD76)</f>
        <v/>
      </c>
      <c r="T76" s="45" t="str">
        <f>IF($A76="","",'Risk Register'!X76)</f>
        <v/>
      </c>
      <c r="U76" s="37" t="str">
        <f>IF($A76="","",IFERROR(INDEX(Appetite!$J$6:$J$17,MATCH('Risk Register'!D76,Appetite!$A$6:$A$17,0)),""))</f>
        <v/>
      </c>
      <c r="V76" s="38" t="str">
        <f>IF($A76="","",'Risk Register'!AK76)</f>
        <v/>
      </c>
    </row>
    <row r="77" spans="1:22" x14ac:dyDescent="0.35">
      <c r="A77" s="45" t="str">
        <f>IF('Risk Register'!A77="","",Methodology!$B$4)</f>
        <v/>
      </c>
      <c r="B77" s="37" t="str">
        <f t="shared" si="2"/>
        <v/>
      </c>
      <c r="C77" s="38" t="str">
        <f>IF($A77="","",'Risk Register'!A77)</f>
        <v/>
      </c>
      <c r="D77" s="44" t="str">
        <f>IF($A77="","",'Risk Register'!B77)</f>
        <v/>
      </c>
      <c r="E77" s="38" t="str">
        <f>IF($A77="","",'Risk Register'!D77)</f>
        <v/>
      </c>
      <c r="F77" s="38" t="str">
        <f>IF($A77="","",'Risk Register'!E77)</f>
        <v/>
      </c>
      <c r="G77" s="37" t="str">
        <f>IF($A77="","",'Risk Register'!H77)</f>
        <v/>
      </c>
      <c r="H77" s="37" t="str">
        <f>IF($A77="","",'Risk Register'!M77)</f>
        <v/>
      </c>
      <c r="I77" s="37" t="str">
        <f>IF($A77="","",'Risk Register'!N77)</f>
        <v/>
      </c>
      <c r="J77" s="37" t="str">
        <f>IF($A77="","",'Risk Register'!O77)</f>
        <v/>
      </c>
      <c r="K77" s="37" t="str">
        <f>IF($A77="","",'Risk Register'!P77)</f>
        <v/>
      </c>
      <c r="L77" s="37" t="str">
        <f>IF($A77="","",'Risk Register'!S77)</f>
        <v/>
      </c>
      <c r="M77" s="37" t="str">
        <f>IF($A77="","",'Risk Register'!T77)</f>
        <v/>
      </c>
      <c r="N77" s="38" t="str">
        <f>IF($A77="","",'Risk Register'!U77)</f>
        <v/>
      </c>
      <c r="O77" s="38" t="str">
        <f>IF($A77="","",'Risk Register'!Y77)</f>
        <v/>
      </c>
      <c r="P77" s="38" t="str">
        <f>IF($A77="","",'Risk Register'!J77&amp;"")</f>
        <v/>
      </c>
      <c r="Q77" s="37" t="str">
        <f>IF($A77="","",'RCM Summary'!J77)</f>
        <v/>
      </c>
      <c r="R77" s="37" t="str">
        <f>IF($A77="","",'Risk Register'!AC77)</f>
        <v/>
      </c>
      <c r="S77" s="37" t="str">
        <f>IF($A77="","",'Risk Register'!AD77)</f>
        <v/>
      </c>
      <c r="T77" s="45" t="str">
        <f>IF($A77="","",'Risk Register'!X77)</f>
        <v/>
      </c>
      <c r="U77" s="37" t="str">
        <f>IF($A77="","",IFERROR(INDEX(Appetite!$J$6:$J$17,MATCH('Risk Register'!D77,Appetite!$A$6:$A$17,0)),""))</f>
        <v/>
      </c>
      <c r="V77" s="38" t="str">
        <f>IF($A77="","",'Risk Register'!AK77)</f>
        <v/>
      </c>
    </row>
    <row r="78" spans="1:22" x14ac:dyDescent="0.35">
      <c r="A78" s="45" t="str">
        <f>IF('Risk Register'!A78="","",Methodology!$B$4)</f>
        <v/>
      </c>
      <c r="B78" s="37" t="str">
        <f t="shared" si="2"/>
        <v/>
      </c>
      <c r="C78" s="38" t="str">
        <f>IF($A78="","",'Risk Register'!A78)</f>
        <v/>
      </c>
      <c r="D78" s="44" t="str">
        <f>IF($A78="","",'Risk Register'!B78)</f>
        <v/>
      </c>
      <c r="E78" s="38" t="str">
        <f>IF($A78="","",'Risk Register'!D78)</f>
        <v/>
      </c>
      <c r="F78" s="38" t="str">
        <f>IF($A78="","",'Risk Register'!E78)</f>
        <v/>
      </c>
      <c r="G78" s="37" t="str">
        <f>IF($A78="","",'Risk Register'!H78)</f>
        <v/>
      </c>
      <c r="H78" s="37" t="str">
        <f>IF($A78="","",'Risk Register'!M78)</f>
        <v/>
      </c>
      <c r="I78" s="37" t="str">
        <f>IF($A78="","",'Risk Register'!N78)</f>
        <v/>
      </c>
      <c r="J78" s="37" t="str">
        <f>IF($A78="","",'Risk Register'!O78)</f>
        <v/>
      </c>
      <c r="K78" s="37" t="str">
        <f>IF($A78="","",'Risk Register'!P78)</f>
        <v/>
      </c>
      <c r="L78" s="37" t="str">
        <f>IF($A78="","",'Risk Register'!S78)</f>
        <v/>
      </c>
      <c r="M78" s="37" t="str">
        <f>IF($A78="","",'Risk Register'!T78)</f>
        <v/>
      </c>
      <c r="N78" s="38" t="str">
        <f>IF($A78="","",'Risk Register'!U78)</f>
        <v/>
      </c>
      <c r="O78" s="38" t="str">
        <f>IF($A78="","",'Risk Register'!Y78)</f>
        <v/>
      </c>
      <c r="P78" s="38" t="str">
        <f>IF($A78="","",'Risk Register'!J78&amp;"")</f>
        <v/>
      </c>
      <c r="Q78" s="37" t="str">
        <f>IF($A78="","",'RCM Summary'!J78)</f>
        <v/>
      </c>
      <c r="R78" s="37" t="str">
        <f>IF($A78="","",'Risk Register'!AC78)</f>
        <v/>
      </c>
      <c r="S78" s="37" t="str">
        <f>IF($A78="","",'Risk Register'!AD78)</f>
        <v/>
      </c>
      <c r="T78" s="45" t="str">
        <f>IF($A78="","",'Risk Register'!X78)</f>
        <v/>
      </c>
      <c r="U78" s="37" t="str">
        <f>IF($A78="","",IFERROR(INDEX(Appetite!$J$6:$J$17,MATCH('Risk Register'!D78,Appetite!$A$6:$A$17,0)),""))</f>
        <v/>
      </c>
      <c r="V78" s="38" t="str">
        <f>IF($A78="","",'Risk Register'!AK78)</f>
        <v/>
      </c>
    </row>
    <row r="79" spans="1:22" x14ac:dyDescent="0.35">
      <c r="A79" s="45" t="str">
        <f>IF('Risk Register'!A79="","",Methodology!$B$4)</f>
        <v/>
      </c>
      <c r="B79" s="37" t="str">
        <f t="shared" si="2"/>
        <v/>
      </c>
      <c r="C79" s="38" t="str">
        <f>IF($A79="","",'Risk Register'!A79)</f>
        <v/>
      </c>
      <c r="D79" s="44" t="str">
        <f>IF($A79="","",'Risk Register'!B79)</f>
        <v/>
      </c>
      <c r="E79" s="38" t="str">
        <f>IF($A79="","",'Risk Register'!D79)</f>
        <v/>
      </c>
      <c r="F79" s="38" t="str">
        <f>IF($A79="","",'Risk Register'!E79)</f>
        <v/>
      </c>
      <c r="G79" s="37" t="str">
        <f>IF($A79="","",'Risk Register'!H79)</f>
        <v/>
      </c>
      <c r="H79" s="37" t="str">
        <f>IF($A79="","",'Risk Register'!M79)</f>
        <v/>
      </c>
      <c r="I79" s="37" t="str">
        <f>IF($A79="","",'Risk Register'!N79)</f>
        <v/>
      </c>
      <c r="J79" s="37" t="str">
        <f>IF($A79="","",'Risk Register'!O79)</f>
        <v/>
      </c>
      <c r="K79" s="37" t="str">
        <f>IF($A79="","",'Risk Register'!P79)</f>
        <v/>
      </c>
      <c r="L79" s="37" t="str">
        <f>IF($A79="","",'Risk Register'!S79)</f>
        <v/>
      </c>
      <c r="M79" s="37" t="str">
        <f>IF($A79="","",'Risk Register'!T79)</f>
        <v/>
      </c>
      <c r="N79" s="38" t="str">
        <f>IF($A79="","",'Risk Register'!U79)</f>
        <v/>
      </c>
      <c r="O79" s="38" t="str">
        <f>IF($A79="","",'Risk Register'!Y79)</f>
        <v/>
      </c>
      <c r="P79" s="38" t="str">
        <f>IF($A79="","",'Risk Register'!J79&amp;"")</f>
        <v/>
      </c>
      <c r="Q79" s="37" t="str">
        <f>IF($A79="","",'RCM Summary'!J79)</f>
        <v/>
      </c>
      <c r="R79" s="37" t="str">
        <f>IF($A79="","",'Risk Register'!AC79)</f>
        <v/>
      </c>
      <c r="S79" s="37" t="str">
        <f>IF($A79="","",'Risk Register'!AD79)</f>
        <v/>
      </c>
      <c r="T79" s="45" t="str">
        <f>IF($A79="","",'Risk Register'!X79)</f>
        <v/>
      </c>
      <c r="U79" s="37" t="str">
        <f>IF($A79="","",IFERROR(INDEX(Appetite!$J$6:$J$17,MATCH('Risk Register'!D79,Appetite!$A$6:$A$17,0)),""))</f>
        <v/>
      </c>
      <c r="V79" s="38" t="str">
        <f>IF($A79="","",'Risk Register'!AK79)</f>
        <v/>
      </c>
    </row>
    <row r="80" spans="1:22" x14ac:dyDescent="0.35">
      <c r="A80" s="45" t="str">
        <f>IF('Risk Register'!A80="","",Methodology!$B$4)</f>
        <v/>
      </c>
      <c r="B80" s="37" t="str">
        <f t="shared" si="2"/>
        <v/>
      </c>
      <c r="C80" s="38" t="str">
        <f>IF($A80="","",'Risk Register'!A80)</f>
        <v/>
      </c>
      <c r="D80" s="44" t="str">
        <f>IF($A80="","",'Risk Register'!B80)</f>
        <v/>
      </c>
      <c r="E80" s="38" t="str">
        <f>IF($A80="","",'Risk Register'!D80)</f>
        <v/>
      </c>
      <c r="F80" s="38" t="str">
        <f>IF($A80="","",'Risk Register'!E80)</f>
        <v/>
      </c>
      <c r="G80" s="37" t="str">
        <f>IF($A80="","",'Risk Register'!H80)</f>
        <v/>
      </c>
      <c r="H80" s="37" t="str">
        <f>IF($A80="","",'Risk Register'!M80)</f>
        <v/>
      </c>
      <c r="I80" s="37" t="str">
        <f>IF($A80="","",'Risk Register'!N80)</f>
        <v/>
      </c>
      <c r="J80" s="37" t="str">
        <f>IF($A80="","",'Risk Register'!O80)</f>
        <v/>
      </c>
      <c r="K80" s="37" t="str">
        <f>IF($A80="","",'Risk Register'!P80)</f>
        <v/>
      </c>
      <c r="L80" s="37" t="str">
        <f>IF($A80="","",'Risk Register'!S80)</f>
        <v/>
      </c>
      <c r="M80" s="37" t="str">
        <f>IF($A80="","",'Risk Register'!T80)</f>
        <v/>
      </c>
      <c r="N80" s="38" t="str">
        <f>IF($A80="","",'Risk Register'!U80)</f>
        <v/>
      </c>
      <c r="O80" s="38" t="str">
        <f>IF($A80="","",'Risk Register'!Y80)</f>
        <v/>
      </c>
      <c r="P80" s="38" t="str">
        <f>IF($A80="","",'Risk Register'!J80&amp;"")</f>
        <v/>
      </c>
      <c r="Q80" s="37" t="str">
        <f>IF($A80="","",'RCM Summary'!J80)</f>
        <v/>
      </c>
      <c r="R80" s="37" t="str">
        <f>IF($A80="","",'Risk Register'!AC80)</f>
        <v/>
      </c>
      <c r="S80" s="37" t="str">
        <f>IF($A80="","",'Risk Register'!AD80)</f>
        <v/>
      </c>
      <c r="T80" s="45" t="str">
        <f>IF($A80="","",'Risk Register'!X80)</f>
        <v/>
      </c>
      <c r="U80" s="37" t="str">
        <f>IF($A80="","",IFERROR(INDEX(Appetite!$J$6:$J$17,MATCH('Risk Register'!D80,Appetite!$A$6:$A$17,0)),""))</f>
        <v/>
      </c>
      <c r="V80" s="38" t="str">
        <f>IF($A80="","",'Risk Register'!AK80)</f>
        <v/>
      </c>
    </row>
    <row r="81" spans="1:22" x14ac:dyDescent="0.35">
      <c r="A81" s="45" t="str">
        <f>IF('Risk Register'!A81="","",Methodology!$B$4)</f>
        <v/>
      </c>
      <c r="B81" s="37" t="str">
        <f t="shared" si="2"/>
        <v/>
      </c>
      <c r="C81" s="38" t="str">
        <f>IF($A81="","",'Risk Register'!A81)</f>
        <v/>
      </c>
      <c r="D81" s="44" t="str">
        <f>IF($A81="","",'Risk Register'!B81)</f>
        <v/>
      </c>
      <c r="E81" s="38" t="str">
        <f>IF($A81="","",'Risk Register'!D81)</f>
        <v/>
      </c>
      <c r="F81" s="38" t="str">
        <f>IF($A81="","",'Risk Register'!E81)</f>
        <v/>
      </c>
      <c r="G81" s="37" t="str">
        <f>IF($A81="","",'Risk Register'!H81)</f>
        <v/>
      </c>
      <c r="H81" s="37" t="str">
        <f>IF($A81="","",'Risk Register'!M81)</f>
        <v/>
      </c>
      <c r="I81" s="37" t="str">
        <f>IF($A81="","",'Risk Register'!N81)</f>
        <v/>
      </c>
      <c r="J81" s="37" t="str">
        <f>IF($A81="","",'Risk Register'!O81)</f>
        <v/>
      </c>
      <c r="K81" s="37" t="str">
        <f>IF($A81="","",'Risk Register'!P81)</f>
        <v/>
      </c>
      <c r="L81" s="37" t="str">
        <f>IF($A81="","",'Risk Register'!S81)</f>
        <v/>
      </c>
      <c r="M81" s="37" t="str">
        <f>IF($A81="","",'Risk Register'!T81)</f>
        <v/>
      </c>
      <c r="N81" s="38" t="str">
        <f>IF($A81="","",'Risk Register'!U81)</f>
        <v/>
      </c>
      <c r="O81" s="38" t="str">
        <f>IF($A81="","",'Risk Register'!Y81)</f>
        <v/>
      </c>
      <c r="P81" s="38" t="str">
        <f>IF($A81="","",'Risk Register'!J81&amp;"")</f>
        <v/>
      </c>
      <c r="Q81" s="37" t="str">
        <f>IF($A81="","",'RCM Summary'!J81)</f>
        <v/>
      </c>
      <c r="R81" s="37" t="str">
        <f>IF($A81="","",'Risk Register'!AC81)</f>
        <v/>
      </c>
      <c r="S81" s="37" t="str">
        <f>IF($A81="","",'Risk Register'!AD81)</f>
        <v/>
      </c>
      <c r="T81" s="45" t="str">
        <f>IF($A81="","",'Risk Register'!X81)</f>
        <v/>
      </c>
      <c r="U81" s="37" t="str">
        <f>IF($A81="","",IFERROR(INDEX(Appetite!$J$6:$J$17,MATCH('Risk Register'!D81,Appetite!$A$6:$A$17,0)),""))</f>
        <v/>
      </c>
      <c r="V81" s="38" t="str">
        <f>IF($A81="","",'Risk Register'!AK81)</f>
        <v/>
      </c>
    </row>
    <row r="82" spans="1:22" x14ac:dyDescent="0.35">
      <c r="A82" s="45" t="str">
        <f>IF('Risk Register'!A82="","",Methodology!$B$4)</f>
        <v/>
      </c>
      <c r="B82" s="37" t="str">
        <f t="shared" si="2"/>
        <v/>
      </c>
      <c r="C82" s="38" t="str">
        <f>IF($A82="","",'Risk Register'!A82)</f>
        <v/>
      </c>
      <c r="D82" s="44" t="str">
        <f>IF($A82="","",'Risk Register'!B82)</f>
        <v/>
      </c>
      <c r="E82" s="38" t="str">
        <f>IF($A82="","",'Risk Register'!D82)</f>
        <v/>
      </c>
      <c r="F82" s="38" t="str">
        <f>IF($A82="","",'Risk Register'!E82)</f>
        <v/>
      </c>
      <c r="G82" s="37" t="str">
        <f>IF($A82="","",'Risk Register'!H82)</f>
        <v/>
      </c>
      <c r="H82" s="37" t="str">
        <f>IF($A82="","",'Risk Register'!M82)</f>
        <v/>
      </c>
      <c r="I82" s="37" t="str">
        <f>IF($A82="","",'Risk Register'!N82)</f>
        <v/>
      </c>
      <c r="J82" s="37" t="str">
        <f>IF($A82="","",'Risk Register'!O82)</f>
        <v/>
      </c>
      <c r="K82" s="37" t="str">
        <f>IF($A82="","",'Risk Register'!P82)</f>
        <v/>
      </c>
      <c r="L82" s="37" t="str">
        <f>IF($A82="","",'Risk Register'!S82)</f>
        <v/>
      </c>
      <c r="M82" s="37" t="str">
        <f>IF($A82="","",'Risk Register'!T82)</f>
        <v/>
      </c>
      <c r="N82" s="38" t="str">
        <f>IF($A82="","",'Risk Register'!U82)</f>
        <v/>
      </c>
      <c r="O82" s="38" t="str">
        <f>IF($A82="","",'Risk Register'!Y82)</f>
        <v/>
      </c>
      <c r="P82" s="38" t="str">
        <f>IF($A82="","",'Risk Register'!J82&amp;"")</f>
        <v/>
      </c>
      <c r="Q82" s="37" t="str">
        <f>IF($A82="","",'RCM Summary'!J82)</f>
        <v/>
      </c>
      <c r="R82" s="37" t="str">
        <f>IF($A82="","",'Risk Register'!AC82)</f>
        <v/>
      </c>
      <c r="S82" s="37" t="str">
        <f>IF($A82="","",'Risk Register'!AD82)</f>
        <v/>
      </c>
      <c r="T82" s="45" t="str">
        <f>IF($A82="","",'Risk Register'!X82)</f>
        <v/>
      </c>
      <c r="U82" s="37" t="str">
        <f>IF($A82="","",IFERROR(INDEX(Appetite!$J$6:$J$17,MATCH('Risk Register'!D82,Appetite!$A$6:$A$17,0)),""))</f>
        <v/>
      </c>
      <c r="V82" s="38" t="str">
        <f>IF($A82="","",'Risk Register'!AK82)</f>
        <v/>
      </c>
    </row>
    <row r="83" spans="1:22" x14ac:dyDescent="0.35">
      <c r="A83" s="45" t="str">
        <f>IF('Risk Register'!A83="","",Methodology!$B$4)</f>
        <v/>
      </c>
      <c r="B83" s="37" t="str">
        <f t="shared" si="2"/>
        <v/>
      </c>
      <c r="C83" s="38" t="str">
        <f>IF($A83="","",'Risk Register'!A83)</f>
        <v/>
      </c>
      <c r="D83" s="44" t="str">
        <f>IF($A83="","",'Risk Register'!B83)</f>
        <v/>
      </c>
      <c r="E83" s="38" t="str">
        <f>IF($A83="","",'Risk Register'!D83)</f>
        <v/>
      </c>
      <c r="F83" s="38" t="str">
        <f>IF($A83="","",'Risk Register'!E83)</f>
        <v/>
      </c>
      <c r="G83" s="37" t="str">
        <f>IF($A83="","",'Risk Register'!H83)</f>
        <v/>
      </c>
      <c r="H83" s="37" t="str">
        <f>IF($A83="","",'Risk Register'!M83)</f>
        <v/>
      </c>
      <c r="I83" s="37" t="str">
        <f>IF($A83="","",'Risk Register'!N83)</f>
        <v/>
      </c>
      <c r="J83" s="37" t="str">
        <f>IF($A83="","",'Risk Register'!O83)</f>
        <v/>
      </c>
      <c r="K83" s="37" t="str">
        <f>IF($A83="","",'Risk Register'!P83)</f>
        <v/>
      </c>
      <c r="L83" s="37" t="str">
        <f>IF($A83="","",'Risk Register'!S83)</f>
        <v/>
      </c>
      <c r="M83" s="37" t="str">
        <f>IF($A83="","",'Risk Register'!T83)</f>
        <v/>
      </c>
      <c r="N83" s="38" t="str">
        <f>IF($A83="","",'Risk Register'!U83)</f>
        <v/>
      </c>
      <c r="O83" s="38" t="str">
        <f>IF($A83="","",'Risk Register'!Y83)</f>
        <v/>
      </c>
      <c r="P83" s="38" t="str">
        <f>IF($A83="","",'Risk Register'!J83&amp;"")</f>
        <v/>
      </c>
      <c r="Q83" s="37" t="str">
        <f>IF($A83="","",'RCM Summary'!J83)</f>
        <v/>
      </c>
      <c r="R83" s="37" t="str">
        <f>IF($A83="","",'Risk Register'!AC83)</f>
        <v/>
      </c>
      <c r="S83" s="37" t="str">
        <f>IF($A83="","",'Risk Register'!AD83)</f>
        <v/>
      </c>
      <c r="T83" s="45" t="str">
        <f>IF($A83="","",'Risk Register'!X83)</f>
        <v/>
      </c>
      <c r="U83" s="37" t="str">
        <f>IF($A83="","",IFERROR(INDEX(Appetite!$J$6:$J$17,MATCH('Risk Register'!D83,Appetite!$A$6:$A$17,0)),""))</f>
        <v/>
      </c>
      <c r="V83" s="38" t="str">
        <f>IF($A83="","",'Risk Register'!AK83)</f>
        <v/>
      </c>
    </row>
    <row r="84" spans="1:22" x14ac:dyDescent="0.35">
      <c r="A84" s="45" t="str">
        <f>IF('Risk Register'!A84="","",Methodology!$B$4)</f>
        <v/>
      </c>
      <c r="B84" s="37" t="str">
        <f t="shared" si="2"/>
        <v/>
      </c>
      <c r="C84" s="38" t="str">
        <f>IF($A84="","",'Risk Register'!A84)</f>
        <v/>
      </c>
      <c r="D84" s="44" t="str">
        <f>IF($A84="","",'Risk Register'!B84)</f>
        <v/>
      </c>
      <c r="E84" s="38" t="str">
        <f>IF($A84="","",'Risk Register'!D84)</f>
        <v/>
      </c>
      <c r="F84" s="38" t="str">
        <f>IF($A84="","",'Risk Register'!E84)</f>
        <v/>
      </c>
      <c r="G84" s="37" t="str">
        <f>IF($A84="","",'Risk Register'!H84)</f>
        <v/>
      </c>
      <c r="H84" s="37" t="str">
        <f>IF($A84="","",'Risk Register'!M84)</f>
        <v/>
      </c>
      <c r="I84" s="37" t="str">
        <f>IF($A84="","",'Risk Register'!N84)</f>
        <v/>
      </c>
      <c r="J84" s="37" t="str">
        <f>IF($A84="","",'Risk Register'!O84)</f>
        <v/>
      </c>
      <c r="K84" s="37" t="str">
        <f>IF($A84="","",'Risk Register'!P84)</f>
        <v/>
      </c>
      <c r="L84" s="37" t="str">
        <f>IF($A84="","",'Risk Register'!S84)</f>
        <v/>
      </c>
      <c r="M84" s="37" t="str">
        <f>IF($A84="","",'Risk Register'!T84)</f>
        <v/>
      </c>
      <c r="N84" s="38" t="str">
        <f>IF($A84="","",'Risk Register'!U84)</f>
        <v/>
      </c>
      <c r="O84" s="38" t="str">
        <f>IF($A84="","",'Risk Register'!Y84)</f>
        <v/>
      </c>
      <c r="P84" s="38" t="str">
        <f>IF($A84="","",'Risk Register'!J84&amp;"")</f>
        <v/>
      </c>
      <c r="Q84" s="37" t="str">
        <f>IF($A84="","",'RCM Summary'!J84)</f>
        <v/>
      </c>
      <c r="R84" s="37" t="str">
        <f>IF($A84="","",'Risk Register'!AC84)</f>
        <v/>
      </c>
      <c r="S84" s="37" t="str">
        <f>IF($A84="","",'Risk Register'!AD84)</f>
        <v/>
      </c>
      <c r="T84" s="45" t="str">
        <f>IF($A84="","",'Risk Register'!X84)</f>
        <v/>
      </c>
      <c r="U84" s="37" t="str">
        <f>IF($A84="","",IFERROR(INDEX(Appetite!$J$6:$J$17,MATCH('Risk Register'!D84,Appetite!$A$6:$A$17,0)),""))</f>
        <v/>
      </c>
      <c r="V84" s="38" t="str">
        <f>IF($A84="","",'Risk Register'!AK84)</f>
        <v/>
      </c>
    </row>
    <row r="85" spans="1:22" x14ac:dyDescent="0.35">
      <c r="A85" s="45" t="str">
        <f>IF('Risk Register'!A85="","",Methodology!$B$4)</f>
        <v/>
      </c>
      <c r="B85" s="37" t="str">
        <f t="shared" si="2"/>
        <v/>
      </c>
      <c r="C85" s="38" t="str">
        <f>IF($A85="","",'Risk Register'!A85)</f>
        <v/>
      </c>
      <c r="D85" s="44" t="str">
        <f>IF($A85="","",'Risk Register'!B85)</f>
        <v/>
      </c>
      <c r="E85" s="38" t="str">
        <f>IF($A85="","",'Risk Register'!D85)</f>
        <v/>
      </c>
      <c r="F85" s="38" t="str">
        <f>IF($A85="","",'Risk Register'!E85)</f>
        <v/>
      </c>
      <c r="G85" s="37" t="str">
        <f>IF($A85="","",'Risk Register'!H85)</f>
        <v/>
      </c>
      <c r="H85" s="37" t="str">
        <f>IF($A85="","",'Risk Register'!M85)</f>
        <v/>
      </c>
      <c r="I85" s="37" t="str">
        <f>IF($A85="","",'Risk Register'!N85)</f>
        <v/>
      </c>
      <c r="J85" s="37" t="str">
        <f>IF($A85="","",'Risk Register'!O85)</f>
        <v/>
      </c>
      <c r="K85" s="37" t="str">
        <f>IF($A85="","",'Risk Register'!P85)</f>
        <v/>
      </c>
      <c r="L85" s="37" t="str">
        <f>IF($A85="","",'Risk Register'!S85)</f>
        <v/>
      </c>
      <c r="M85" s="37" t="str">
        <f>IF($A85="","",'Risk Register'!T85)</f>
        <v/>
      </c>
      <c r="N85" s="38" t="str">
        <f>IF($A85="","",'Risk Register'!U85)</f>
        <v/>
      </c>
      <c r="O85" s="38" t="str">
        <f>IF($A85="","",'Risk Register'!Y85)</f>
        <v/>
      </c>
      <c r="P85" s="38" t="str">
        <f>IF($A85="","",'Risk Register'!J85&amp;"")</f>
        <v/>
      </c>
      <c r="Q85" s="37" t="str">
        <f>IF($A85="","",'RCM Summary'!J85)</f>
        <v/>
      </c>
      <c r="R85" s="37" t="str">
        <f>IF($A85="","",'Risk Register'!AC85)</f>
        <v/>
      </c>
      <c r="S85" s="37" t="str">
        <f>IF($A85="","",'Risk Register'!AD85)</f>
        <v/>
      </c>
      <c r="T85" s="45" t="str">
        <f>IF($A85="","",'Risk Register'!X85)</f>
        <v/>
      </c>
      <c r="U85" s="37" t="str">
        <f>IF($A85="","",IFERROR(INDEX(Appetite!$J$6:$J$17,MATCH('Risk Register'!D85,Appetite!$A$6:$A$17,0)),""))</f>
        <v/>
      </c>
      <c r="V85" s="38" t="str">
        <f>IF($A85="","",'Risk Register'!AK85)</f>
        <v/>
      </c>
    </row>
    <row r="86" spans="1:22" x14ac:dyDescent="0.35">
      <c r="A86" s="45" t="str">
        <f>IF('Risk Register'!A86="","",Methodology!$B$4)</f>
        <v/>
      </c>
      <c r="B86" s="37" t="str">
        <f t="shared" si="2"/>
        <v/>
      </c>
      <c r="C86" s="38" t="str">
        <f>IF($A86="","",'Risk Register'!A86)</f>
        <v/>
      </c>
      <c r="D86" s="44" t="str">
        <f>IF($A86="","",'Risk Register'!B86)</f>
        <v/>
      </c>
      <c r="E86" s="38" t="str">
        <f>IF($A86="","",'Risk Register'!D86)</f>
        <v/>
      </c>
      <c r="F86" s="38" t="str">
        <f>IF($A86="","",'Risk Register'!E86)</f>
        <v/>
      </c>
      <c r="G86" s="37" t="str">
        <f>IF($A86="","",'Risk Register'!H86)</f>
        <v/>
      </c>
      <c r="H86" s="37" t="str">
        <f>IF($A86="","",'Risk Register'!M86)</f>
        <v/>
      </c>
      <c r="I86" s="37" t="str">
        <f>IF($A86="","",'Risk Register'!N86)</f>
        <v/>
      </c>
      <c r="J86" s="37" t="str">
        <f>IF($A86="","",'Risk Register'!O86)</f>
        <v/>
      </c>
      <c r="K86" s="37" t="str">
        <f>IF($A86="","",'Risk Register'!P86)</f>
        <v/>
      </c>
      <c r="L86" s="37" t="str">
        <f>IF($A86="","",'Risk Register'!S86)</f>
        <v/>
      </c>
      <c r="M86" s="37" t="str">
        <f>IF($A86="","",'Risk Register'!T86)</f>
        <v/>
      </c>
      <c r="N86" s="38" t="str">
        <f>IF($A86="","",'Risk Register'!U86)</f>
        <v/>
      </c>
      <c r="O86" s="38" t="str">
        <f>IF($A86="","",'Risk Register'!Y86)</f>
        <v/>
      </c>
      <c r="P86" s="38" t="str">
        <f>IF($A86="","",'Risk Register'!J86&amp;"")</f>
        <v/>
      </c>
      <c r="Q86" s="37" t="str">
        <f>IF($A86="","",'RCM Summary'!J86)</f>
        <v/>
      </c>
      <c r="R86" s="37" t="str">
        <f>IF($A86="","",'Risk Register'!AC86)</f>
        <v/>
      </c>
      <c r="S86" s="37" t="str">
        <f>IF($A86="","",'Risk Register'!AD86)</f>
        <v/>
      </c>
      <c r="T86" s="45" t="str">
        <f>IF($A86="","",'Risk Register'!X86)</f>
        <v/>
      </c>
      <c r="U86" s="37" t="str">
        <f>IF($A86="","",IFERROR(INDEX(Appetite!$J$6:$J$17,MATCH('Risk Register'!D86,Appetite!$A$6:$A$17,0)),""))</f>
        <v/>
      </c>
      <c r="V86" s="38" t="str">
        <f>IF($A86="","",'Risk Register'!AK86)</f>
        <v/>
      </c>
    </row>
    <row r="87" spans="1:22" x14ac:dyDescent="0.35">
      <c r="A87" s="45" t="str">
        <f>IF('Risk Register'!A87="","",Methodology!$B$4)</f>
        <v/>
      </c>
      <c r="B87" s="37" t="str">
        <f t="shared" si="2"/>
        <v/>
      </c>
      <c r="C87" s="38" t="str">
        <f>IF($A87="","",'Risk Register'!A87)</f>
        <v/>
      </c>
      <c r="D87" s="44" t="str">
        <f>IF($A87="","",'Risk Register'!B87)</f>
        <v/>
      </c>
      <c r="E87" s="38" t="str">
        <f>IF($A87="","",'Risk Register'!D87)</f>
        <v/>
      </c>
      <c r="F87" s="38" t="str">
        <f>IF($A87="","",'Risk Register'!E87)</f>
        <v/>
      </c>
      <c r="G87" s="37" t="str">
        <f>IF($A87="","",'Risk Register'!H87)</f>
        <v/>
      </c>
      <c r="H87" s="37" t="str">
        <f>IF($A87="","",'Risk Register'!M87)</f>
        <v/>
      </c>
      <c r="I87" s="37" t="str">
        <f>IF($A87="","",'Risk Register'!N87)</f>
        <v/>
      </c>
      <c r="J87" s="37" t="str">
        <f>IF($A87="","",'Risk Register'!O87)</f>
        <v/>
      </c>
      <c r="K87" s="37" t="str">
        <f>IF($A87="","",'Risk Register'!P87)</f>
        <v/>
      </c>
      <c r="L87" s="37" t="str">
        <f>IF($A87="","",'Risk Register'!S87)</f>
        <v/>
      </c>
      <c r="M87" s="37" t="str">
        <f>IF($A87="","",'Risk Register'!T87)</f>
        <v/>
      </c>
      <c r="N87" s="38" t="str">
        <f>IF($A87="","",'Risk Register'!U87)</f>
        <v/>
      </c>
      <c r="O87" s="38" t="str">
        <f>IF($A87="","",'Risk Register'!Y87)</f>
        <v/>
      </c>
      <c r="P87" s="38" t="str">
        <f>IF($A87="","",'Risk Register'!J87&amp;"")</f>
        <v/>
      </c>
      <c r="Q87" s="37" t="str">
        <f>IF($A87="","",'RCM Summary'!J87)</f>
        <v/>
      </c>
      <c r="R87" s="37" t="str">
        <f>IF($A87="","",'Risk Register'!AC87)</f>
        <v/>
      </c>
      <c r="S87" s="37" t="str">
        <f>IF($A87="","",'Risk Register'!AD87)</f>
        <v/>
      </c>
      <c r="T87" s="45" t="str">
        <f>IF($A87="","",'Risk Register'!X87)</f>
        <v/>
      </c>
      <c r="U87" s="37" t="str">
        <f>IF($A87="","",IFERROR(INDEX(Appetite!$J$6:$J$17,MATCH('Risk Register'!D87,Appetite!$A$6:$A$17,0)),""))</f>
        <v/>
      </c>
      <c r="V87" s="38" t="str">
        <f>IF($A87="","",'Risk Register'!AK87)</f>
        <v/>
      </c>
    </row>
    <row r="88" spans="1:22" x14ac:dyDescent="0.35">
      <c r="A88" s="45" t="str">
        <f>IF('Risk Register'!A88="","",Methodology!$B$4)</f>
        <v/>
      </c>
      <c r="B88" s="37" t="str">
        <f t="shared" si="2"/>
        <v/>
      </c>
      <c r="C88" s="38" t="str">
        <f>IF($A88="","",'Risk Register'!A88)</f>
        <v/>
      </c>
      <c r="D88" s="44" t="str">
        <f>IF($A88="","",'Risk Register'!B88)</f>
        <v/>
      </c>
      <c r="E88" s="38" t="str">
        <f>IF($A88="","",'Risk Register'!D88)</f>
        <v/>
      </c>
      <c r="F88" s="38" t="str">
        <f>IF($A88="","",'Risk Register'!E88)</f>
        <v/>
      </c>
      <c r="G88" s="37" t="str">
        <f>IF($A88="","",'Risk Register'!H88)</f>
        <v/>
      </c>
      <c r="H88" s="37" t="str">
        <f>IF($A88="","",'Risk Register'!M88)</f>
        <v/>
      </c>
      <c r="I88" s="37" t="str">
        <f>IF($A88="","",'Risk Register'!N88)</f>
        <v/>
      </c>
      <c r="J88" s="37" t="str">
        <f>IF($A88="","",'Risk Register'!O88)</f>
        <v/>
      </c>
      <c r="K88" s="37" t="str">
        <f>IF($A88="","",'Risk Register'!P88)</f>
        <v/>
      </c>
      <c r="L88" s="37" t="str">
        <f>IF($A88="","",'Risk Register'!S88)</f>
        <v/>
      </c>
      <c r="M88" s="37" t="str">
        <f>IF($A88="","",'Risk Register'!T88)</f>
        <v/>
      </c>
      <c r="N88" s="38" t="str">
        <f>IF($A88="","",'Risk Register'!U88)</f>
        <v/>
      </c>
      <c r="O88" s="38" t="str">
        <f>IF($A88="","",'Risk Register'!Y88)</f>
        <v/>
      </c>
      <c r="P88" s="38" t="str">
        <f>IF($A88="","",'Risk Register'!J88&amp;"")</f>
        <v/>
      </c>
      <c r="Q88" s="37" t="str">
        <f>IF($A88="","",'RCM Summary'!J88)</f>
        <v/>
      </c>
      <c r="R88" s="37" t="str">
        <f>IF($A88="","",'Risk Register'!AC88)</f>
        <v/>
      </c>
      <c r="S88" s="37" t="str">
        <f>IF($A88="","",'Risk Register'!AD88)</f>
        <v/>
      </c>
      <c r="T88" s="45" t="str">
        <f>IF($A88="","",'Risk Register'!X88)</f>
        <v/>
      </c>
      <c r="U88" s="37" t="str">
        <f>IF($A88="","",IFERROR(INDEX(Appetite!$J$6:$J$17,MATCH('Risk Register'!D88,Appetite!$A$6:$A$17,0)),""))</f>
        <v/>
      </c>
      <c r="V88" s="38" t="str">
        <f>IF($A88="","",'Risk Register'!AK88)</f>
        <v/>
      </c>
    </row>
    <row r="89" spans="1:22" x14ac:dyDescent="0.35">
      <c r="A89" s="45" t="str">
        <f>IF('Risk Register'!A89="","",Methodology!$B$4)</f>
        <v/>
      </c>
      <c r="B89" s="37" t="str">
        <f t="shared" si="2"/>
        <v/>
      </c>
      <c r="C89" s="38" t="str">
        <f>IF($A89="","",'Risk Register'!A89)</f>
        <v/>
      </c>
      <c r="D89" s="44" t="str">
        <f>IF($A89="","",'Risk Register'!B89)</f>
        <v/>
      </c>
      <c r="E89" s="38" t="str">
        <f>IF($A89="","",'Risk Register'!D89)</f>
        <v/>
      </c>
      <c r="F89" s="38" t="str">
        <f>IF($A89="","",'Risk Register'!E89)</f>
        <v/>
      </c>
      <c r="G89" s="37" t="str">
        <f>IF($A89="","",'Risk Register'!H89)</f>
        <v/>
      </c>
      <c r="H89" s="37" t="str">
        <f>IF($A89="","",'Risk Register'!M89)</f>
        <v/>
      </c>
      <c r="I89" s="37" t="str">
        <f>IF($A89="","",'Risk Register'!N89)</f>
        <v/>
      </c>
      <c r="J89" s="37" t="str">
        <f>IF($A89="","",'Risk Register'!O89)</f>
        <v/>
      </c>
      <c r="K89" s="37" t="str">
        <f>IF($A89="","",'Risk Register'!P89)</f>
        <v/>
      </c>
      <c r="L89" s="37" t="str">
        <f>IF($A89="","",'Risk Register'!S89)</f>
        <v/>
      </c>
      <c r="M89" s="37" t="str">
        <f>IF($A89="","",'Risk Register'!T89)</f>
        <v/>
      </c>
      <c r="N89" s="38" t="str">
        <f>IF($A89="","",'Risk Register'!U89)</f>
        <v/>
      </c>
      <c r="O89" s="38" t="str">
        <f>IF($A89="","",'Risk Register'!Y89)</f>
        <v/>
      </c>
      <c r="P89" s="38" t="str">
        <f>IF($A89="","",'Risk Register'!J89&amp;"")</f>
        <v/>
      </c>
      <c r="Q89" s="37" t="str">
        <f>IF($A89="","",'RCM Summary'!J89)</f>
        <v/>
      </c>
      <c r="R89" s="37" t="str">
        <f>IF($A89="","",'Risk Register'!AC89)</f>
        <v/>
      </c>
      <c r="S89" s="37" t="str">
        <f>IF($A89="","",'Risk Register'!AD89)</f>
        <v/>
      </c>
      <c r="T89" s="45" t="str">
        <f>IF($A89="","",'Risk Register'!X89)</f>
        <v/>
      </c>
      <c r="U89" s="37" t="str">
        <f>IF($A89="","",IFERROR(INDEX(Appetite!$J$6:$J$17,MATCH('Risk Register'!D89,Appetite!$A$6:$A$17,0)),""))</f>
        <v/>
      </c>
      <c r="V89" s="38" t="str">
        <f>IF($A89="","",'Risk Register'!AK89)</f>
        <v/>
      </c>
    </row>
    <row r="90" spans="1:22" x14ac:dyDescent="0.35">
      <c r="A90" s="45" t="str">
        <f>IF('Risk Register'!A90="","",Methodology!$B$4)</f>
        <v/>
      </c>
      <c r="B90" s="37" t="str">
        <f t="shared" si="2"/>
        <v/>
      </c>
      <c r="C90" s="38" t="str">
        <f>IF($A90="","",'Risk Register'!A90)</f>
        <v/>
      </c>
      <c r="D90" s="44" t="str">
        <f>IF($A90="","",'Risk Register'!B90)</f>
        <v/>
      </c>
      <c r="E90" s="38" t="str">
        <f>IF($A90="","",'Risk Register'!D90)</f>
        <v/>
      </c>
      <c r="F90" s="38" t="str">
        <f>IF($A90="","",'Risk Register'!E90)</f>
        <v/>
      </c>
      <c r="G90" s="37" t="str">
        <f>IF($A90="","",'Risk Register'!H90)</f>
        <v/>
      </c>
      <c r="H90" s="37" t="str">
        <f>IF($A90="","",'Risk Register'!M90)</f>
        <v/>
      </c>
      <c r="I90" s="37" t="str">
        <f>IF($A90="","",'Risk Register'!N90)</f>
        <v/>
      </c>
      <c r="J90" s="37" t="str">
        <f>IF($A90="","",'Risk Register'!O90)</f>
        <v/>
      </c>
      <c r="K90" s="37" t="str">
        <f>IF($A90="","",'Risk Register'!P90)</f>
        <v/>
      </c>
      <c r="L90" s="37" t="str">
        <f>IF($A90="","",'Risk Register'!S90)</f>
        <v/>
      </c>
      <c r="M90" s="37" t="str">
        <f>IF($A90="","",'Risk Register'!T90)</f>
        <v/>
      </c>
      <c r="N90" s="38" t="str">
        <f>IF($A90="","",'Risk Register'!U90)</f>
        <v/>
      </c>
      <c r="O90" s="38" t="str">
        <f>IF($A90="","",'Risk Register'!Y90)</f>
        <v/>
      </c>
      <c r="P90" s="38" t="str">
        <f>IF($A90="","",'Risk Register'!J90&amp;"")</f>
        <v/>
      </c>
      <c r="Q90" s="37" t="str">
        <f>IF($A90="","",'RCM Summary'!J90)</f>
        <v/>
      </c>
      <c r="R90" s="37" t="str">
        <f>IF($A90="","",'Risk Register'!AC90)</f>
        <v/>
      </c>
      <c r="S90" s="37" t="str">
        <f>IF($A90="","",'Risk Register'!AD90)</f>
        <v/>
      </c>
      <c r="T90" s="45" t="str">
        <f>IF($A90="","",'Risk Register'!X90)</f>
        <v/>
      </c>
      <c r="U90" s="37" t="str">
        <f>IF($A90="","",IFERROR(INDEX(Appetite!$J$6:$J$17,MATCH('Risk Register'!D90,Appetite!$A$6:$A$17,0)),""))</f>
        <v/>
      </c>
      <c r="V90" s="38" t="str">
        <f>IF($A90="","",'Risk Register'!AK90)</f>
        <v/>
      </c>
    </row>
    <row r="91" spans="1:22" x14ac:dyDescent="0.35">
      <c r="A91" s="45" t="str">
        <f>IF('Risk Register'!A91="","",Methodology!$B$4)</f>
        <v/>
      </c>
      <c r="B91" s="37" t="str">
        <f t="shared" si="2"/>
        <v/>
      </c>
      <c r="C91" s="38" t="str">
        <f>IF($A91="","",'Risk Register'!A91)</f>
        <v/>
      </c>
      <c r="D91" s="44" t="str">
        <f>IF($A91="","",'Risk Register'!B91)</f>
        <v/>
      </c>
      <c r="E91" s="38" t="str">
        <f>IF($A91="","",'Risk Register'!D91)</f>
        <v/>
      </c>
      <c r="F91" s="38" t="str">
        <f>IF($A91="","",'Risk Register'!E91)</f>
        <v/>
      </c>
      <c r="G91" s="37" t="str">
        <f>IF($A91="","",'Risk Register'!H91)</f>
        <v/>
      </c>
      <c r="H91" s="37" t="str">
        <f>IF($A91="","",'Risk Register'!M91)</f>
        <v/>
      </c>
      <c r="I91" s="37" t="str">
        <f>IF($A91="","",'Risk Register'!N91)</f>
        <v/>
      </c>
      <c r="J91" s="37" t="str">
        <f>IF($A91="","",'Risk Register'!O91)</f>
        <v/>
      </c>
      <c r="K91" s="37" t="str">
        <f>IF($A91="","",'Risk Register'!P91)</f>
        <v/>
      </c>
      <c r="L91" s="37" t="str">
        <f>IF($A91="","",'Risk Register'!S91)</f>
        <v/>
      </c>
      <c r="M91" s="37" t="str">
        <f>IF($A91="","",'Risk Register'!T91)</f>
        <v/>
      </c>
      <c r="N91" s="38" t="str">
        <f>IF($A91="","",'Risk Register'!U91)</f>
        <v/>
      </c>
      <c r="O91" s="38" t="str">
        <f>IF($A91="","",'Risk Register'!Y91)</f>
        <v/>
      </c>
      <c r="P91" s="38" t="str">
        <f>IF($A91="","",'Risk Register'!J91&amp;"")</f>
        <v/>
      </c>
      <c r="Q91" s="37" t="str">
        <f>IF($A91="","",'RCM Summary'!J91)</f>
        <v/>
      </c>
      <c r="R91" s="37" t="str">
        <f>IF($A91="","",'Risk Register'!AC91)</f>
        <v/>
      </c>
      <c r="S91" s="37" t="str">
        <f>IF($A91="","",'Risk Register'!AD91)</f>
        <v/>
      </c>
      <c r="T91" s="45" t="str">
        <f>IF($A91="","",'Risk Register'!X91)</f>
        <v/>
      </c>
      <c r="U91" s="37" t="str">
        <f>IF($A91="","",IFERROR(INDEX(Appetite!$J$6:$J$17,MATCH('Risk Register'!D91,Appetite!$A$6:$A$17,0)),""))</f>
        <v/>
      </c>
      <c r="V91" s="38" t="str">
        <f>IF($A91="","",'Risk Register'!AK91)</f>
        <v/>
      </c>
    </row>
    <row r="92" spans="1:22" x14ac:dyDescent="0.35">
      <c r="A92" s="45" t="str">
        <f>IF('Risk Register'!A92="","",Methodology!$B$4)</f>
        <v/>
      </c>
      <c r="B92" s="37" t="str">
        <f t="shared" si="2"/>
        <v/>
      </c>
      <c r="C92" s="38" t="str">
        <f>IF($A92="","",'Risk Register'!A92)</f>
        <v/>
      </c>
      <c r="D92" s="44" t="str">
        <f>IF($A92="","",'Risk Register'!B92)</f>
        <v/>
      </c>
      <c r="E92" s="38" t="str">
        <f>IF($A92="","",'Risk Register'!D92)</f>
        <v/>
      </c>
      <c r="F92" s="38" t="str">
        <f>IF($A92="","",'Risk Register'!E92)</f>
        <v/>
      </c>
      <c r="G92" s="37" t="str">
        <f>IF($A92="","",'Risk Register'!H92)</f>
        <v/>
      </c>
      <c r="H92" s="37" t="str">
        <f>IF($A92="","",'Risk Register'!M92)</f>
        <v/>
      </c>
      <c r="I92" s="37" t="str">
        <f>IF($A92="","",'Risk Register'!N92)</f>
        <v/>
      </c>
      <c r="J92" s="37" t="str">
        <f>IF($A92="","",'Risk Register'!O92)</f>
        <v/>
      </c>
      <c r="K92" s="37" t="str">
        <f>IF($A92="","",'Risk Register'!P92)</f>
        <v/>
      </c>
      <c r="L92" s="37" t="str">
        <f>IF($A92="","",'Risk Register'!S92)</f>
        <v/>
      </c>
      <c r="M92" s="37" t="str">
        <f>IF($A92="","",'Risk Register'!T92)</f>
        <v/>
      </c>
      <c r="N92" s="38" t="str">
        <f>IF($A92="","",'Risk Register'!U92)</f>
        <v/>
      </c>
      <c r="O92" s="38" t="str">
        <f>IF($A92="","",'Risk Register'!Y92)</f>
        <v/>
      </c>
      <c r="P92" s="38" t="str">
        <f>IF($A92="","",'Risk Register'!J92&amp;"")</f>
        <v/>
      </c>
      <c r="Q92" s="37" t="str">
        <f>IF($A92="","",'RCM Summary'!J92)</f>
        <v/>
      </c>
      <c r="R92" s="37" t="str">
        <f>IF($A92="","",'Risk Register'!AC92)</f>
        <v/>
      </c>
      <c r="S92" s="37" t="str">
        <f>IF($A92="","",'Risk Register'!AD92)</f>
        <v/>
      </c>
      <c r="T92" s="45" t="str">
        <f>IF($A92="","",'Risk Register'!X92)</f>
        <v/>
      </c>
      <c r="U92" s="37" t="str">
        <f>IF($A92="","",IFERROR(INDEX(Appetite!$J$6:$J$17,MATCH('Risk Register'!D92,Appetite!$A$6:$A$17,0)),""))</f>
        <v/>
      </c>
      <c r="V92" s="38" t="str">
        <f>IF($A92="","",'Risk Register'!AK92)</f>
        <v/>
      </c>
    </row>
    <row r="93" spans="1:22" x14ac:dyDescent="0.35">
      <c r="A93" s="45" t="str">
        <f>IF('Risk Register'!A93="","",Methodology!$B$4)</f>
        <v/>
      </c>
      <c r="B93" s="37" t="str">
        <f t="shared" si="2"/>
        <v/>
      </c>
      <c r="C93" s="38" t="str">
        <f>IF($A93="","",'Risk Register'!A93)</f>
        <v/>
      </c>
      <c r="D93" s="44" t="str">
        <f>IF($A93="","",'Risk Register'!B93)</f>
        <v/>
      </c>
      <c r="E93" s="38" t="str">
        <f>IF($A93="","",'Risk Register'!D93)</f>
        <v/>
      </c>
      <c r="F93" s="38" t="str">
        <f>IF($A93="","",'Risk Register'!E93)</f>
        <v/>
      </c>
      <c r="G93" s="37" t="str">
        <f>IF($A93="","",'Risk Register'!H93)</f>
        <v/>
      </c>
      <c r="H93" s="37" t="str">
        <f>IF($A93="","",'Risk Register'!M93)</f>
        <v/>
      </c>
      <c r="I93" s="37" t="str">
        <f>IF($A93="","",'Risk Register'!N93)</f>
        <v/>
      </c>
      <c r="J93" s="37" t="str">
        <f>IF($A93="","",'Risk Register'!O93)</f>
        <v/>
      </c>
      <c r="K93" s="37" t="str">
        <f>IF($A93="","",'Risk Register'!P93)</f>
        <v/>
      </c>
      <c r="L93" s="37" t="str">
        <f>IF($A93="","",'Risk Register'!S93)</f>
        <v/>
      </c>
      <c r="M93" s="37" t="str">
        <f>IF($A93="","",'Risk Register'!T93)</f>
        <v/>
      </c>
      <c r="N93" s="38" t="str">
        <f>IF($A93="","",'Risk Register'!U93)</f>
        <v/>
      </c>
      <c r="O93" s="38" t="str">
        <f>IF($A93="","",'Risk Register'!Y93)</f>
        <v/>
      </c>
      <c r="P93" s="38" t="str">
        <f>IF($A93="","",'Risk Register'!J93&amp;"")</f>
        <v/>
      </c>
      <c r="Q93" s="37" t="str">
        <f>IF($A93="","",'RCM Summary'!J93)</f>
        <v/>
      </c>
      <c r="R93" s="37" t="str">
        <f>IF($A93="","",'Risk Register'!AC93)</f>
        <v/>
      </c>
      <c r="S93" s="37" t="str">
        <f>IF($A93="","",'Risk Register'!AD93)</f>
        <v/>
      </c>
      <c r="T93" s="45" t="str">
        <f>IF($A93="","",'Risk Register'!X93)</f>
        <v/>
      </c>
      <c r="U93" s="37" t="str">
        <f>IF($A93="","",IFERROR(INDEX(Appetite!$J$6:$J$17,MATCH('Risk Register'!D93,Appetite!$A$6:$A$17,0)),""))</f>
        <v/>
      </c>
      <c r="V93" s="38" t="str">
        <f>IF($A93="","",'Risk Register'!AK93)</f>
        <v/>
      </c>
    </row>
    <row r="94" spans="1:22" x14ac:dyDescent="0.35">
      <c r="A94" s="45" t="str">
        <f>IF('Risk Register'!A94="","",Methodology!$B$4)</f>
        <v/>
      </c>
      <c r="B94" s="37" t="str">
        <f t="shared" si="2"/>
        <v/>
      </c>
      <c r="C94" s="38" t="str">
        <f>IF($A94="","",'Risk Register'!A94)</f>
        <v/>
      </c>
      <c r="D94" s="44" t="str">
        <f>IF($A94="","",'Risk Register'!B94)</f>
        <v/>
      </c>
      <c r="E94" s="38" t="str">
        <f>IF($A94="","",'Risk Register'!D94)</f>
        <v/>
      </c>
      <c r="F94" s="38" t="str">
        <f>IF($A94="","",'Risk Register'!E94)</f>
        <v/>
      </c>
      <c r="G94" s="37" t="str">
        <f>IF($A94="","",'Risk Register'!H94)</f>
        <v/>
      </c>
      <c r="H94" s="37" t="str">
        <f>IF($A94="","",'Risk Register'!M94)</f>
        <v/>
      </c>
      <c r="I94" s="37" t="str">
        <f>IF($A94="","",'Risk Register'!N94)</f>
        <v/>
      </c>
      <c r="J94" s="37" t="str">
        <f>IF($A94="","",'Risk Register'!O94)</f>
        <v/>
      </c>
      <c r="K94" s="37" t="str">
        <f>IF($A94="","",'Risk Register'!P94)</f>
        <v/>
      </c>
      <c r="L94" s="37" t="str">
        <f>IF($A94="","",'Risk Register'!S94)</f>
        <v/>
      </c>
      <c r="M94" s="37" t="str">
        <f>IF($A94="","",'Risk Register'!T94)</f>
        <v/>
      </c>
      <c r="N94" s="38" t="str">
        <f>IF($A94="","",'Risk Register'!U94)</f>
        <v/>
      </c>
      <c r="O94" s="38" t="str">
        <f>IF($A94="","",'Risk Register'!Y94)</f>
        <v/>
      </c>
      <c r="P94" s="38" t="str">
        <f>IF($A94="","",'Risk Register'!J94&amp;"")</f>
        <v/>
      </c>
      <c r="Q94" s="37" t="str">
        <f>IF($A94="","",'RCM Summary'!J94)</f>
        <v/>
      </c>
      <c r="R94" s="37" t="str">
        <f>IF($A94="","",'Risk Register'!AC94)</f>
        <v/>
      </c>
      <c r="S94" s="37" t="str">
        <f>IF($A94="","",'Risk Register'!AD94)</f>
        <v/>
      </c>
      <c r="T94" s="45" t="str">
        <f>IF($A94="","",'Risk Register'!X94)</f>
        <v/>
      </c>
      <c r="U94" s="37" t="str">
        <f>IF($A94="","",IFERROR(INDEX(Appetite!$J$6:$J$17,MATCH('Risk Register'!D94,Appetite!$A$6:$A$17,0)),""))</f>
        <v/>
      </c>
      <c r="V94" s="38" t="str">
        <f>IF($A94="","",'Risk Register'!AK94)</f>
        <v/>
      </c>
    </row>
    <row r="95" spans="1:22" x14ac:dyDescent="0.35">
      <c r="A95" s="45" t="str">
        <f>IF('Risk Register'!A95="","",Methodology!$B$4)</f>
        <v/>
      </c>
      <c r="B95" s="37" t="str">
        <f t="shared" si="2"/>
        <v/>
      </c>
      <c r="C95" s="38" t="str">
        <f>IF($A95="","",'Risk Register'!A95)</f>
        <v/>
      </c>
      <c r="D95" s="44" t="str">
        <f>IF($A95="","",'Risk Register'!B95)</f>
        <v/>
      </c>
      <c r="E95" s="38" t="str">
        <f>IF($A95="","",'Risk Register'!D95)</f>
        <v/>
      </c>
      <c r="F95" s="38" t="str">
        <f>IF($A95="","",'Risk Register'!E95)</f>
        <v/>
      </c>
      <c r="G95" s="37" t="str">
        <f>IF($A95="","",'Risk Register'!H95)</f>
        <v/>
      </c>
      <c r="H95" s="37" t="str">
        <f>IF($A95="","",'Risk Register'!M95)</f>
        <v/>
      </c>
      <c r="I95" s="37" t="str">
        <f>IF($A95="","",'Risk Register'!N95)</f>
        <v/>
      </c>
      <c r="J95" s="37" t="str">
        <f>IF($A95="","",'Risk Register'!O95)</f>
        <v/>
      </c>
      <c r="K95" s="37" t="str">
        <f>IF($A95="","",'Risk Register'!P95)</f>
        <v/>
      </c>
      <c r="L95" s="37" t="str">
        <f>IF($A95="","",'Risk Register'!S95)</f>
        <v/>
      </c>
      <c r="M95" s="37" t="str">
        <f>IF($A95="","",'Risk Register'!T95)</f>
        <v/>
      </c>
      <c r="N95" s="38" t="str">
        <f>IF($A95="","",'Risk Register'!U95)</f>
        <v/>
      </c>
      <c r="O95" s="38" t="str">
        <f>IF($A95="","",'Risk Register'!Y95)</f>
        <v/>
      </c>
      <c r="P95" s="38" t="str">
        <f>IF($A95="","",'Risk Register'!J95&amp;"")</f>
        <v/>
      </c>
      <c r="Q95" s="37" t="str">
        <f>IF($A95="","",'RCM Summary'!J95)</f>
        <v/>
      </c>
      <c r="R95" s="37" t="str">
        <f>IF($A95="","",'Risk Register'!AC95)</f>
        <v/>
      </c>
      <c r="S95" s="37" t="str">
        <f>IF($A95="","",'Risk Register'!AD95)</f>
        <v/>
      </c>
      <c r="T95" s="45" t="str">
        <f>IF($A95="","",'Risk Register'!X95)</f>
        <v/>
      </c>
      <c r="U95" s="37" t="str">
        <f>IF($A95="","",IFERROR(INDEX(Appetite!$J$6:$J$17,MATCH('Risk Register'!D95,Appetite!$A$6:$A$17,0)),""))</f>
        <v/>
      </c>
      <c r="V95" s="38" t="str">
        <f>IF($A95="","",'Risk Register'!AK95)</f>
        <v/>
      </c>
    </row>
    <row r="96" spans="1:22" x14ac:dyDescent="0.35">
      <c r="A96" s="45" t="str">
        <f>IF('Risk Register'!A96="","",Methodology!$B$4)</f>
        <v/>
      </c>
      <c r="B96" s="37" t="str">
        <f t="shared" si="2"/>
        <v/>
      </c>
      <c r="C96" s="38" t="str">
        <f>IF($A96="","",'Risk Register'!A96)</f>
        <v/>
      </c>
      <c r="D96" s="44" t="str">
        <f>IF($A96="","",'Risk Register'!B96)</f>
        <v/>
      </c>
      <c r="E96" s="38" t="str">
        <f>IF($A96="","",'Risk Register'!D96)</f>
        <v/>
      </c>
      <c r="F96" s="38" t="str">
        <f>IF($A96="","",'Risk Register'!E96)</f>
        <v/>
      </c>
      <c r="G96" s="37" t="str">
        <f>IF($A96="","",'Risk Register'!H96)</f>
        <v/>
      </c>
      <c r="H96" s="37" t="str">
        <f>IF($A96="","",'Risk Register'!M96)</f>
        <v/>
      </c>
      <c r="I96" s="37" t="str">
        <f>IF($A96="","",'Risk Register'!N96)</f>
        <v/>
      </c>
      <c r="J96" s="37" t="str">
        <f>IF($A96="","",'Risk Register'!O96)</f>
        <v/>
      </c>
      <c r="K96" s="37" t="str">
        <f>IF($A96="","",'Risk Register'!P96)</f>
        <v/>
      </c>
      <c r="L96" s="37" t="str">
        <f>IF($A96="","",'Risk Register'!S96)</f>
        <v/>
      </c>
      <c r="M96" s="37" t="str">
        <f>IF($A96="","",'Risk Register'!T96)</f>
        <v/>
      </c>
      <c r="N96" s="38" t="str">
        <f>IF($A96="","",'Risk Register'!U96)</f>
        <v/>
      </c>
      <c r="O96" s="38" t="str">
        <f>IF($A96="","",'Risk Register'!Y96)</f>
        <v/>
      </c>
      <c r="P96" s="38" t="str">
        <f>IF($A96="","",'Risk Register'!J96&amp;"")</f>
        <v/>
      </c>
      <c r="Q96" s="37" t="str">
        <f>IF($A96="","",'RCM Summary'!J96)</f>
        <v/>
      </c>
      <c r="R96" s="37" t="str">
        <f>IF($A96="","",'Risk Register'!AC96)</f>
        <v/>
      </c>
      <c r="S96" s="37" t="str">
        <f>IF($A96="","",'Risk Register'!AD96)</f>
        <v/>
      </c>
      <c r="T96" s="45" t="str">
        <f>IF($A96="","",'Risk Register'!X96)</f>
        <v/>
      </c>
      <c r="U96" s="37" t="str">
        <f>IF($A96="","",IFERROR(INDEX(Appetite!$J$6:$J$17,MATCH('Risk Register'!D96,Appetite!$A$6:$A$17,0)),""))</f>
        <v/>
      </c>
      <c r="V96" s="38" t="str">
        <f>IF($A96="","",'Risk Register'!AK96)</f>
        <v/>
      </c>
    </row>
    <row r="97" spans="1:22" x14ac:dyDescent="0.35">
      <c r="A97" s="45" t="str">
        <f>IF('Risk Register'!A97="","",Methodology!$B$4)</f>
        <v/>
      </c>
      <c r="B97" s="37" t="str">
        <f t="shared" si="2"/>
        <v/>
      </c>
      <c r="C97" s="38" t="str">
        <f>IF($A97="","",'Risk Register'!A97)</f>
        <v/>
      </c>
      <c r="D97" s="44" t="str">
        <f>IF($A97="","",'Risk Register'!B97)</f>
        <v/>
      </c>
      <c r="E97" s="38" t="str">
        <f>IF($A97="","",'Risk Register'!D97)</f>
        <v/>
      </c>
      <c r="F97" s="38" t="str">
        <f>IF($A97="","",'Risk Register'!E97)</f>
        <v/>
      </c>
      <c r="G97" s="37" t="str">
        <f>IF($A97="","",'Risk Register'!H97)</f>
        <v/>
      </c>
      <c r="H97" s="37" t="str">
        <f>IF($A97="","",'Risk Register'!M97)</f>
        <v/>
      </c>
      <c r="I97" s="37" t="str">
        <f>IF($A97="","",'Risk Register'!N97)</f>
        <v/>
      </c>
      <c r="J97" s="37" t="str">
        <f>IF($A97="","",'Risk Register'!O97)</f>
        <v/>
      </c>
      <c r="K97" s="37" t="str">
        <f>IF($A97="","",'Risk Register'!P97)</f>
        <v/>
      </c>
      <c r="L97" s="37" t="str">
        <f>IF($A97="","",'Risk Register'!S97)</f>
        <v/>
      </c>
      <c r="M97" s="37" t="str">
        <f>IF($A97="","",'Risk Register'!T97)</f>
        <v/>
      </c>
      <c r="N97" s="38" t="str">
        <f>IF($A97="","",'Risk Register'!U97)</f>
        <v/>
      </c>
      <c r="O97" s="38" t="str">
        <f>IF($A97="","",'Risk Register'!Y97)</f>
        <v/>
      </c>
      <c r="P97" s="38" t="str">
        <f>IF($A97="","",'Risk Register'!J97&amp;"")</f>
        <v/>
      </c>
      <c r="Q97" s="37" t="str">
        <f>IF($A97="","",'RCM Summary'!J97)</f>
        <v/>
      </c>
      <c r="R97" s="37" t="str">
        <f>IF($A97="","",'Risk Register'!AC97)</f>
        <v/>
      </c>
      <c r="S97" s="37" t="str">
        <f>IF($A97="","",'Risk Register'!AD97)</f>
        <v/>
      </c>
      <c r="T97" s="45" t="str">
        <f>IF($A97="","",'Risk Register'!X97)</f>
        <v/>
      </c>
      <c r="U97" s="37" t="str">
        <f>IF($A97="","",IFERROR(INDEX(Appetite!$J$6:$J$17,MATCH('Risk Register'!D97,Appetite!$A$6:$A$17,0)),""))</f>
        <v/>
      </c>
      <c r="V97" s="38" t="str">
        <f>IF($A97="","",'Risk Register'!AK97)</f>
        <v/>
      </c>
    </row>
    <row r="98" spans="1:22" x14ac:dyDescent="0.35">
      <c r="A98" s="45" t="str">
        <f>IF('Risk Register'!A98="","",Methodology!$B$4)</f>
        <v/>
      </c>
      <c r="B98" s="37" t="str">
        <f t="shared" si="2"/>
        <v/>
      </c>
      <c r="C98" s="38" t="str">
        <f>IF($A98="","",'Risk Register'!A98)</f>
        <v/>
      </c>
      <c r="D98" s="44" t="str">
        <f>IF($A98="","",'Risk Register'!B98)</f>
        <v/>
      </c>
      <c r="E98" s="38" t="str">
        <f>IF($A98="","",'Risk Register'!D98)</f>
        <v/>
      </c>
      <c r="F98" s="38" t="str">
        <f>IF($A98="","",'Risk Register'!E98)</f>
        <v/>
      </c>
      <c r="G98" s="37" t="str">
        <f>IF($A98="","",'Risk Register'!H98)</f>
        <v/>
      </c>
      <c r="H98" s="37" t="str">
        <f>IF($A98="","",'Risk Register'!M98)</f>
        <v/>
      </c>
      <c r="I98" s="37" t="str">
        <f>IF($A98="","",'Risk Register'!N98)</f>
        <v/>
      </c>
      <c r="J98" s="37" t="str">
        <f>IF($A98="","",'Risk Register'!O98)</f>
        <v/>
      </c>
      <c r="K98" s="37" t="str">
        <f>IF($A98="","",'Risk Register'!P98)</f>
        <v/>
      </c>
      <c r="L98" s="37" t="str">
        <f>IF($A98="","",'Risk Register'!S98)</f>
        <v/>
      </c>
      <c r="M98" s="37" t="str">
        <f>IF($A98="","",'Risk Register'!T98)</f>
        <v/>
      </c>
      <c r="N98" s="38" t="str">
        <f>IF($A98="","",'Risk Register'!U98)</f>
        <v/>
      </c>
      <c r="O98" s="38" t="str">
        <f>IF($A98="","",'Risk Register'!Y98)</f>
        <v/>
      </c>
      <c r="P98" s="38" t="str">
        <f>IF($A98="","",'Risk Register'!J98&amp;"")</f>
        <v/>
      </c>
      <c r="Q98" s="37" t="str">
        <f>IF($A98="","",'RCM Summary'!J98)</f>
        <v/>
      </c>
      <c r="R98" s="37" t="str">
        <f>IF($A98="","",'Risk Register'!AC98)</f>
        <v/>
      </c>
      <c r="S98" s="37" t="str">
        <f>IF($A98="","",'Risk Register'!AD98)</f>
        <v/>
      </c>
      <c r="T98" s="45" t="str">
        <f>IF($A98="","",'Risk Register'!X98)</f>
        <v/>
      </c>
      <c r="U98" s="37" t="str">
        <f>IF($A98="","",IFERROR(INDEX(Appetite!$J$6:$J$17,MATCH('Risk Register'!D98,Appetite!$A$6:$A$17,0)),""))</f>
        <v/>
      </c>
      <c r="V98" s="38" t="str">
        <f>IF($A98="","",'Risk Register'!AK98)</f>
        <v/>
      </c>
    </row>
    <row r="99" spans="1:22" x14ac:dyDescent="0.35">
      <c r="A99" s="45" t="str">
        <f>IF('Risk Register'!A99="","",Methodology!$B$4)</f>
        <v/>
      </c>
      <c r="B99" s="37" t="str">
        <f t="shared" si="2"/>
        <v/>
      </c>
      <c r="C99" s="38" t="str">
        <f>IF($A99="","",'Risk Register'!A99)</f>
        <v/>
      </c>
      <c r="D99" s="44" t="str">
        <f>IF($A99="","",'Risk Register'!B99)</f>
        <v/>
      </c>
      <c r="E99" s="38" t="str">
        <f>IF($A99="","",'Risk Register'!D99)</f>
        <v/>
      </c>
      <c r="F99" s="38" t="str">
        <f>IF($A99="","",'Risk Register'!E99)</f>
        <v/>
      </c>
      <c r="G99" s="37" t="str">
        <f>IF($A99="","",'Risk Register'!H99)</f>
        <v/>
      </c>
      <c r="H99" s="37" t="str">
        <f>IF($A99="","",'Risk Register'!M99)</f>
        <v/>
      </c>
      <c r="I99" s="37" t="str">
        <f>IF($A99="","",'Risk Register'!N99)</f>
        <v/>
      </c>
      <c r="J99" s="37" t="str">
        <f>IF($A99="","",'Risk Register'!O99)</f>
        <v/>
      </c>
      <c r="K99" s="37" t="str">
        <f>IF($A99="","",'Risk Register'!P99)</f>
        <v/>
      </c>
      <c r="L99" s="37" t="str">
        <f>IF($A99="","",'Risk Register'!S99)</f>
        <v/>
      </c>
      <c r="M99" s="37" t="str">
        <f>IF($A99="","",'Risk Register'!T99)</f>
        <v/>
      </c>
      <c r="N99" s="38" t="str">
        <f>IF($A99="","",'Risk Register'!U99)</f>
        <v/>
      </c>
      <c r="O99" s="38" t="str">
        <f>IF($A99="","",'Risk Register'!Y99)</f>
        <v/>
      </c>
      <c r="P99" s="38" t="str">
        <f>IF($A99="","",'Risk Register'!J99&amp;"")</f>
        <v/>
      </c>
      <c r="Q99" s="37" t="str">
        <f>IF($A99="","",'RCM Summary'!J99)</f>
        <v/>
      </c>
      <c r="R99" s="37" t="str">
        <f>IF($A99="","",'Risk Register'!AC99)</f>
        <v/>
      </c>
      <c r="S99" s="37" t="str">
        <f>IF($A99="","",'Risk Register'!AD99)</f>
        <v/>
      </c>
      <c r="T99" s="45" t="str">
        <f>IF($A99="","",'Risk Register'!X99)</f>
        <v/>
      </c>
      <c r="U99" s="37" t="str">
        <f>IF($A99="","",IFERROR(INDEX(Appetite!$J$6:$J$17,MATCH('Risk Register'!D99,Appetite!$A$6:$A$17,0)),""))</f>
        <v/>
      </c>
      <c r="V99" s="38" t="str">
        <f>IF($A99="","",'Risk Register'!AK99)</f>
        <v/>
      </c>
    </row>
    <row r="100" spans="1:22" x14ac:dyDescent="0.35">
      <c r="A100" s="45" t="str">
        <f>IF('Risk Register'!A100="","",Methodology!$B$4)</f>
        <v/>
      </c>
      <c r="B100" s="37" t="str">
        <f t="shared" si="2"/>
        <v/>
      </c>
      <c r="C100" s="38" t="str">
        <f>IF($A100="","",'Risk Register'!A100)</f>
        <v/>
      </c>
      <c r="D100" s="44" t="str">
        <f>IF($A100="","",'Risk Register'!B100)</f>
        <v/>
      </c>
      <c r="E100" s="38" t="str">
        <f>IF($A100="","",'Risk Register'!D100)</f>
        <v/>
      </c>
      <c r="F100" s="38" t="str">
        <f>IF($A100="","",'Risk Register'!E100)</f>
        <v/>
      </c>
      <c r="G100" s="37" t="str">
        <f>IF($A100="","",'Risk Register'!H100)</f>
        <v/>
      </c>
      <c r="H100" s="37" t="str">
        <f>IF($A100="","",'Risk Register'!M100)</f>
        <v/>
      </c>
      <c r="I100" s="37" t="str">
        <f>IF($A100="","",'Risk Register'!N100)</f>
        <v/>
      </c>
      <c r="J100" s="37" t="str">
        <f>IF($A100="","",'Risk Register'!O100)</f>
        <v/>
      </c>
      <c r="K100" s="37" t="str">
        <f>IF($A100="","",'Risk Register'!P100)</f>
        <v/>
      </c>
      <c r="L100" s="37" t="str">
        <f>IF($A100="","",'Risk Register'!S100)</f>
        <v/>
      </c>
      <c r="M100" s="37" t="str">
        <f>IF($A100="","",'Risk Register'!T100)</f>
        <v/>
      </c>
      <c r="N100" s="38" t="str">
        <f>IF($A100="","",'Risk Register'!U100)</f>
        <v/>
      </c>
      <c r="O100" s="38" t="str">
        <f>IF($A100="","",'Risk Register'!Y100)</f>
        <v/>
      </c>
      <c r="P100" s="38" t="str">
        <f>IF($A100="","",'Risk Register'!J100&amp;"")</f>
        <v/>
      </c>
      <c r="Q100" s="37" t="str">
        <f>IF($A100="","",'RCM Summary'!J100)</f>
        <v/>
      </c>
      <c r="R100" s="37" t="str">
        <f>IF($A100="","",'Risk Register'!AC100)</f>
        <v/>
      </c>
      <c r="S100" s="37" t="str">
        <f>IF($A100="","",'Risk Register'!AD100)</f>
        <v/>
      </c>
      <c r="T100" s="45" t="str">
        <f>IF($A100="","",'Risk Register'!X100)</f>
        <v/>
      </c>
      <c r="U100" s="37" t="str">
        <f>IF($A100="","",IFERROR(INDEX(Appetite!$J$6:$J$17,MATCH('Risk Register'!D100,Appetite!$A$6:$A$17,0)),""))</f>
        <v/>
      </c>
      <c r="V100" s="38" t="str">
        <f>IF($A100="","",'Risk Register'!AK100)</f>
        <v/>
      </c>
    </row>
    <row r="101" spans="1:22" x14ac:dyDescent="0.35">
      <c r="A101" s="45" t="str">
        <f>IF('Risk Register'!A101="","",Methodology!$B$4)</f>
        <v/>
      </c>
      <c r="B101" s="37" t="str">
        <f t="shared" si="2"/>
        <v/>
      </c>
      <c r="C101" s="38" t="str">
        <f>IF($A101="","",'Risk Register'!A101)</f>
        <v/>
      </c>
      <c r="D101" s="44" t="str">
        <f>IF($A101="","",'Risk Register'!B101)</f>
        <v/>
      </c>
      <c r="E101" s="38" t="str">
        <f>IF($A101="","",'Risk Register'!D101)</f>
        <v/>
      </c>
      <c r="F101" s="38" t="str">
        <f>IF($A101="","",'Risk Register'!E101)</f>
        <v/>
      </c>
      <c r="G101" s="37" t="str">
        <f>IF($A101="","",'Risk Register'!H101)</f>
        <v/>
      </c>
      <c r="H101" s="37" t="str">
        <f>IF($A101="","",'Risk Register'!M101)</f>
        <v/>
      </c>
      <c r="I101" s="37" t="str">
        <f>IF($A101="","",'Risk Register'!N101)</f>
        <v/>
      </c>
      <c r="J101" s="37" t="str">
        <f>IF($A101="","",'Risk Register'!O101)</f>
        <v/>
      </c>
      <c r="K101" s="37" t="str">
        <f>IF($A101="","",'Risk Register'!P101)</f>
        <v/>
      </c>
      <c r="L101" s="37" t="str">
        <f>IF($A101="","",'Risk Register'!S101)</f>
        <v/>
      </c>
      <c r="M101" s="37" t="str">
        <f>IF($A101="","",'Risk Register'!T101)</f>
        <v/>
      </c>
      <c r="N101" s="38" t="str">
        <f>IF($A101="","",'Risk Register'!U101)</f>
        <v/>
      </c>
      <c r="O101" s="38" t="str">
        <f>IF($A101="","",'Risk Register'!Y101)</f>
        <v/>
      </c>
      <c r="P101" s="38" t="str">
        <f>IF($A101="","",'Risk Register'!J101&amp;"")</f>
        <v/>
      </c>
      <c r="Q101" s="37" t="str">
        <f>IF($A101="","",'RCM Summary'!J101)</f>
        <v/>
      </c>
      <c r="R101" s="37" t="str">
        <f>IF($A101="","",'Risk Register'!AC101)</f>
        <v/>
      </c>
      <c r="S101" s="37" t="str">
        <f>IF($A101="","",'Risk Register'!AD101)</f>
        <v/>
      </c>
      <c r="T101" s="45" t="str">
        <f>IF($A101="","",'Risk Register'!X101)</f>
        <v/>
      </c>
      <c r="U101" s="37" t="str">
        <f>IF($A101="","",IFERROR(INDEX(Appetite!$J$6:$J$17,MATCH('Risk Register'!D101,Appetite!$A$6:$A$17,0)),""))</f>
        <v/>
      </c>
      <c r="V101" s="38" t="str">
        <f>IF($A101="","",'Risk Register'!AK101)</f>
        <v/>
      </c>
    </row>
    <row r="102" spans="1:22" x14ac:dyDescent="0.35">
      <c r="A102" s="45" t="str">
        <f>IF('Risk Register'!A102="","",Methodology!$B$4)</f>
        <v/>
      </c>
      <c r="B102" s="37" t="str">
        <f t="shared" ref="B102:B105" si="3">IF(A102="","",$B$3)</f>
        <v/>
      </c>
      <c r="C102" s="38" t="str">
        <f>IF($A102="","",'Risk Register'!A102)</f>
        <v/>
      </c>
      <c r="D102" s="44" t="str">
        <f>IF($A102="","",'Risk Register'!B102)</f>
        <v/>
      </c>
      <c r="E102" s="38" t="str">
        <f>IF($A102="","",'Risk Register'!D102)</f>
        <v/>
      </c>
      <c r="F102" s="38" t="str">
        <f>IF($A102="","",'Risk Register'!E102)</f>
        <v/>
      </c>
      <c r="G102" s="37" t="str">
        <f>IF($A102="","",'Risk Register'!H102)</f>
        <v/>
      </c>
      <c r="H102" s="37" t="str">
        <f>IF($A102="","",'Risk Register'!M102)</f>
        <v/>
      </c>
      <c r="I102" s="37" t="str">
        <f>IF($A102="","",'Risk Register'!N102)</f>
        <v/>
      </c>
      <c r="J102" s="37" t="str">
        <f>IF($A102="","",'Risk Register'!O102)</f>
        <v/>
      </c>
      <c r="K102" s="37" t="str">
        <f>IF($A102="","",'Risk Register'!P102)</f>
        <v/>
      </c>
      <c r="L102" s="37" t="str">
        <f>IF($A102="","",'Risk Register'!S102)</f>
        <v/>
      </c>
      <c r="M102" s="37" t="str">
        <f>IF($A102="","",'Risk Register'!T102)</f>
        <v/>
      </c>
      <c r="N102" s="38" t="str">
        <f>IF($A102="","",'Risk Register'!U102)</f>
        <v/>
      </c>
      <c r="O102" s="38" t="str">
        <f>IF($A102="","",'Risk Register'!Y102)</f>
        <v/>
      </c>
      <c r="P102" s="38" t="str">
        <f>IF($A102="","",'Risk Register'!J102&amp;"")</f>
        <v/>
      </c>
      <c r="Q102" s="37" t="str">
        <f>IF($A102="","",'RCM Summary'!J102)</f>
        <v/>
      </c>
      <c r="R102" s="37" t="str">
        <f>IF($A102="","",'Risk Register'!AC102)</f>
        <v/>
      </c>
      <c r="S102" s="37" t="str">
        <f>IF($A102="","",'Risk Register'!AD102)</f>
        <v/>
      </c>
      <c r="T102" s="45" t="str">
        <f>IF($A102="","",'Risk Register'!X102)</f>
        <v/>
      </c>
      <c r="U102" s="37" t="str">
        <f>IF($A102="","",IFERROR(INDEX(Appetite!$J$6:$J$17,MATCH('Risk Register'!D102,Appetite!$A$6:$A$17,0)),""))</f>
        <v/>
      </c>
      <c r="V102" s="38" t="str">
        <f>IF($A102="","",'Risk Register'!AK102)</f>
        <v/>
      </c>
    </row>
    <row r="103" spans="1:22" x14ac:dyDescent="0.35">
      <c r="A103" s="45" t="str">
        <f>IF('Risk Register'!A103="","",Methodology!$B$4)</f>
        <v/>
      </c>
      <c r="B103" s="37" t="str">
        <f t="shared" si="3"/>
        <v/>
      </c>
      <c r="C103" s="38" t="str">
        <f>IF($A103="","",'Risk Register'!A103)</f>
        <v/>
      </c>
      <c r="D103" s="44" t="str">
        <f>IF($A103="","",'Risk Register'!B103)</f>
        <v/>
      </c>
      <c r="E103" s="38" t="str">
        <f>IF($A103="","",'Risk Register'!D103)</f>
        <v/>
      </c>
      <c r="F103" s="38" t="str">
        <f>IF($A103="","",'Risk Register'!E103)</f>
        <v/>
      </c>
      <c r="G103" s="37" t="str">
        <f>IF($A103="","",'Risk Register'!H103)</f>
        <v/>
      </c>
      <c r="H103" s="37" t="str">
        <f>IF($A103="","",'Risk Register'!M103)</f>
        <v/>
      </c>
      <c r="I103" s="37" t="str">
        <f>IF($A103="","",'Risk Register'!N103)</f>
        <v/>
      </c>
      <c r="J103" s="37" t="str">
        <f>IF($A103="","",'Risk Register'!O103)</f>
        <v/>
      </c>
      <c r="K103" s="37" t="str">
        <f>IF($A103="","",'Risk Register'!P103)</f>
        <v/>
      </c>
      <c r="L103" s="37" t="str">
        <f>IF($A103="","",'Risk Register'!S103)</f>
        <v/>
      </c>
      <c r="M103" s="37" t="str">
        <f>IF($A103="","",'Risk Register'!T103)</f>
        <v/>
      </c>
      <c r="N103" s="38" t="str">
        <f>IF($A103="","",'Risk Register'!U103)</f>
        <v/>
      </c>
      <c r="O103" s="38" t="str">
        <f>IF($A103="","",'Risk Register'!Y103)</f>
        <v/>
      </c>
      <c r="P103" s="38" t="str">
        <f>IF($A103="","",'Risk Register'!J103&amp;"")</f>
        <v/>
      </c>
      <c r="Q103" s="37" t="str">
        <f>IF($A103="","",'RCM Summary'!J103)</f>
        <v/>
      </c>
      <c r="R103" s="37" t="str">
        <f>IF($A103="","",'Risk Register'!AC103)</f>
        <v/>
      </c>
      <c r="S103" s="37" t="str">
        <f>IF($A103="","",'Risk Register'!AD103)</f>
        <v/>
      </c>
      <c r="T103" s="45" t="str">
        <f>IF($A103="","",'Risk Register'!X103)</f>
        <v/>
      </c>
      <c r="U103" s="37" t="str">
        <f>IF($A103="","",IFERROR(INDEX(Appetite!$J$6:$J$17,MATCH('Risk Register'!D103,Appetite!$A$6:$A$17,0)),""))</f>
        <v/>
      </c>
      <c r="V103" s="38" t="str">
        <f>IF($A103="","",'Risk Register'!AK103)</f>
        <v/>
      </c>
    </row>
    <row r="104" spans="1:22" x14ac:dyDescent="0.35">
      <c r="A104" s="45" t="str">
        <f>IF('Risk Register'!A104="","",Methodology!$B$4)</f>
        <v/>
      </c>
      <c r="B104" s="37" t="str">
        <f t="shared" si="3"/>
        <v/>
      </c>
      <c r="C104" s="38" t="str">
        <f>IF($A104="","",'Risk Register'!A104)</f>
        <v/>
      </c>
      <c r="D104" s="44" t="str">
        <f>IF($A104="","",'Risk Register'!B104)</f>
        <v/>
      </c>
      <c r="E104" s="38" t="str">
        <f>IF($A104="","",'Risk Register'!D104)</f>
        <v/>
      </c>
      <c r="F104" s="38" t="str">
        <f>IF($A104="","",'Risk Register'!E104)</f>
        <v/>
      </c>
      <c r="G104" s="37" t="str">
        <f>IF($A104="","",'Risk Register'!H104)</f>
        <v/>
      </c>
      <c r="H104" s="37" t="str">
        <f>IF($A104="","",'Risk Register'!M104)</f>
        <v/>
      </c>
      <c r="I104" s="37" t="str">
        <f>IF($A104="","",'Risk Register'!N104)</f>
        <v/>
      </c>
      <c r="J104" s="37" t="str">
        <f>IF($A104="","",'Risk Register'!O104)</f>
        <v/>
      </c>
      <c r="K104" s="37" t="str">
        <f>IF($A104="","",'Risk Register'!P104)</f>
        <v/>
      </c>
      <c r="L104" s="37" t="str">
        <f>IF($A104="","",'Risk Register'!S104)</f>
        <v/>
      </c>
      <c r="M104" s="37" t="str">
        <f>IF($A104="","",'Risk Register'!T104)</f>
        <v/>
      </c>
      <c r="N104" s="38" t="str">
        <f>IF($A104="","",'Risk Register'!U104)</f>
        <v/>
      </c>
      <c r="O104" s="38" t="str">
        <f>IF($A104="","",'Risk Register'!Y104)</f>
        <v/>
      </c>
      <c r="P104" s="38" t="str">
        <f>IF($A104="","",'Risk Register'!J104&amp;"")</f>
        <v/>
      </c>
      <c r="Q104" s="37" t="str">
        <f>IF($A104="","",'RCM Summary'!J104)</f>
        <v/>
      </c>
      <c r="R104" s="37" t="str">
        <f>IF($A104="","",'Risk Register'!AC104)</f>
        <v/>
      </c>
      <c r="S104" s="37" t="str">
        <f>IF($A104="","",'Risk Register'!AD104)</f>
        <v/>
      </c>
      <c r="T104" s="45" t="str">
        <f>IF($A104="","",'Risk Register'!X104)</f>
        <v/>
      </c>
      <c r="U104" s="37" t="str">
        <f>IF($A104="","",IFERROR(INDEX(Appetite!$J$6:$J$17,MATCH('Risk Register'!D104,Appetite!$A$6:$A$17,0)),""))</f>
        <v/>
      </c>
      <c r="V104" s="38" t="str">
        <f>IF($A104="","",'Risk Register'!AK104)</f>
        <v/>
      </c>
    </row>
    <row r="105" spans="1:22" x14ac:dyDescent="0.35">
      <c r="A105" s="45" t="str">
        <f>IF('Risk Register'!A105="","",Methodology!$B$4)</f>
        <v/>
      </c>
      <c r="B105" s="37" t="str">
        <f t="shared" si="3"/>
        <v/>
      </c>
      <c r="C105" s="38" t="str">
        <f>IF($A105="","",'Risk Register'!A105)</f>
        <v/>
      </c>
      <c r="D105" s="44" t="str">
        <f>IF($A105="","",'Risk Register'!B105)</f>
        <v/>
      </c>
      <c r="E105" s="38" t="str">
        <f>IF($A105="","",'Risk Register'!D105)</f>
        <v/>
      </c>
      <c r="F105" s="38" t="str">
        <f>IF($A105="","",'Risk Register'!E105)</f>
        <v/>
      </c>
      <c r="G105" s="37" t="str">
        <f>IF($A105="","",'Risk Register'!H105)</f>
        <v/>
      </c>
      <c r="H105" s="37" t="str">
        <f>IF($A105="","",'Risk Register'!M105)</f>
        <v/>
      </c>
      <c r="I105" s="37" t="str">
        <f>IF($A105="","",'Risk Register'!N105)</f>
        <v/>
      </c>
      <c r="J105" s="37" t="str">
        <f>IF($A105="","",'Risk Register'!O105)</f>
        <v/>
      </c>
      <c r="K105" s="37" t="str">
        <f>IF($A105="","",'Risk Register'!P105)</f>
        <v/>
      </c>
      <c r="L105" s="37" t="str">
        <f>IF($A105="","",'Risk Register'!S105)</f>
        <v/>
      </c>
      <c r="M105" s="37" t="str">
        <f>IF($A105="","",'Risk Register'!T105)</f>
        <v/>
      </c>
      <c r="N105" s="38" t="str">
        <f>IF($A105="","",'Risk Register'!U105)</f>
        <v/>
      </c>
      <c r="O105" s="38" t="str">
        <f>IF($A105="","",'Risk Register'!Y105)</f>
        <v/>
      </c>
      <c r="P105" s="38" t="str">
        <f>IF($A105="","",'Risk Register'!J105&amp;"")</f>
        <v/>
      </c>
      <c r="Q105" s="37" t="str">
        <f>IF($A105="","",'RCM Summary'!J105)</f>
        <v/>
      </c>
      <c r="R105" s="37" t="str">
        <f>IF($A105="","",'Risk Register'!AC105)</f>
        <v/>
      </c>
      <c r="S105" s="37" t="str">
        <f>IF($A105="","",'Risk Register'!AD105)</f>
        <v/>
      </c>
      <c r="T105" s="45" t="str">
        <f>IF($A105="","",'Risk Register'!X105)</f>
        <v/>
      </c>
      <c r="U105" s="37" t="str">
        <f>IF($A105="","",IFERROR(INDEX(Appetite!$J$6:$J$17,MATCH('Risk Register'!D105,Appetite!$A$6:$A$17,0)),""))</f>
        <v/>
      </c>
      <c r="V105" s="38" t="str">
        <f>IF($A105="","",'Risk Register'!AK105)</f>
        <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BF8F00"/>
  </sheetPr>
  <dimension ref="A1:W1005"/>
  <sheetViews>
    <sheetView showGridLines="0" workbookViewId="0">
      <pane xSplit="3" ySplit="5" topLeftCell="D6" activePane="bottomRight" state="frozen"/>
      <selection pane="topRight"/>
      <selection pane="bottomLeft"/>
      <selection pane="bottomRight" activeCell="D6" sqref="D6"/>
    </sheetView>
  </sheetViews>
  <sheetFormatPr defaultColWidth="8.6328125" defaultRowHeight="14.5" x14ac:dyDescent="0.35"/>
  <cols>
    <col min="1" max="1" width="13" customWidth="1"/>
    <col min="2" max="2" width="18" customWidth="1"/>
    <col min="3" max="3" width="9" customWidth="1"/>
    <col min="4" max="4" width="30" customWidth="1"/>
    <col min="5" max="5" width="24" customWidth="1"/>
    <col min="6" max="6" width="18" customWidth="1"/>
    <col min="7" max="7" width="10" customWidth="1"/>
    <col min="8" max="8" width="11" customWidth="1"/>
    <col min="9" max="13" width="10" customWidth="1"/>
    <col min="14" max="14" width="17" customWidth="1"/>
    <col min="15" max="15" width="30" customWidth="1"/>
    <col min="16" max="17" width="14" customWidth="1"/>
    <col min="18" max="18" width="11" customWidth="1"/>
    <col min="19" max="19" width="10" customWidth="1"/>
    <col min="20" max="20" width="13" customWidth="1"/>
    <col min="21" max="21" width="14" customWidth="1"/>
    <col min="22" max="22" width="30" customWidth="1"/>
    <col min="23" max="23" width="16" customWidth="1"/>
  </cols>
  <sheetData>
    <row r="1" spans="1:23" ht="20" x14ac:dyDescent="0.4">
      <c r="A1" s="2" t="s">
        <v>650</v>
      </c>
    </row>
    <row r="2" spans="1:23" x14ac:dyDescent="0.35">
      <c r="A2" s="1" t="s">
        <v>651</v>
      </c>
    </row>
    <row r="5" spans="1:23" ht="57.75" customHeight="1" x14ac:dyDescent="0.35">
      <c r="A5" s="16" t="s">
        <v>644</v>
      </c>
      <c r="B5" s="16" t="s">
        <v>637</v>
      </c>
      <c r="C5" s="16" t="s">
        <v>224</v>
      </c>
      <c r="D5" s="16" t="s">
        <v>225</v>
      </c>
      <c r="E5" s="16" t="s">
        <v>55</v>
      </c>
      <c r="F5" s="16" t="s">
        <v>227</v>
      </c>
      <c r="G5" s="16" t="s">
        <v>230</v>
      </c>
      <c r="H5" s="16" t="s">
        <v>645</v>
      </c>
      <c r="I5" s="16" t="s">
        <v>646</v>
      </c>
      <c r="J5" s="16" t="s">
        <v>313</v>
      </c>
      <c r="K5" s="16" t="s">
        <v>238</v>
      </c>
      <c r="L5" s="16" t="s">
        <v>58</v>
      </c>
      <c r="M5" s="16" t="s">
        <v>241</v>
      </c>
      <c r="N5" s="16" t="s">
        <v>148</v>
      </c>
      <c r="O5" s="16" t="s">
        <v>245</v>
      </c>
      <c r="P5" s="16" t="s">
        <v>647</v>
      </c>
      <c r="Q5" s="16" t="s">
        <v>648</v>
      </c>
      <c r="R5" s="16" t="s">
        <v>41</v>
      </c>
      <c r="S5" s="16" t="s">
        <v>250</v>
      </c>
      <c r="T5" s="16" t="s">
        <v>315</v>
      </c>
      <c r="U5" s="16" t="s">
        <v>649</v>
      </c>
      <c r="V5" s="16" t="s">
        <v>257</v>
      </c>
      <c r="W5" s="16" t="s">
        <v>652</v>
      </c>
    </row>
    <row r="6" spans="1:23" x14ac:dyDescent="0.35">
      <c r="A6" s="46">
        <v>46265</v>
      </c>
      <c r="B6" s="36" t="s">
        <v>653</v>
      </c>
      <c r="C6" s="35" t="s">
        <v>258</v>
      </c>
      <c r="D6" s="24" t="s">
        <v>259</v>
      </c>
      <c r="E6" s="35" t="s">
        <v>197</v>
      </c>
      <c r="F6" s="35" t="s">
        <v>261</v>
      </c>
      <c r="G6" s="36">
        <v>20</v>
      </c>
      <c r="H6" s="36">
        <v>4</v>
      </c>
      <c r="I6" s="36">
        <v>5</v>
      </c>
      <c r="J6" s="36">
        <v>20</v>
      </c>
      <c r="K6" s="36" t="s">
        <v>133</v>
      </c>
      <c r="L6" s="36">
        <v>6</v>
      </c>
      <c r="M6" s="36">
        <v>10</v>
      </c>
      <c r="N6" s="35" t="s">
        <v>158</v>
      </c>
      <c r="O6" s="35" t="s">
        <v>654</v>
      </c>
      <c r="P6" s="35" t="s">
        <v>143</v>
      </c>
      <c r="Q6" s="36" t="s">
        <v>143</v>
      </c>
      <c r="R6" s="36">
        <v>2</v>
      </c>
      <c r="S6" s="36"/>
      <c r="T6" s="46"/>
      <c r="U6" s="36" t="s">
        <v>194</v>
      </c>
      <c r="V6" s="35" t="s">
        <v>655</v>
      </c>
      <c r="W6" s="38" t="str">
        <f t="shared" ref="W6:W69" si="0">IF(OR(A6="",C6=""),"",INT(A6)&amp;"|"&amp;C6)</f>
        <v>46265|R-001</v>
      </c>
    </row>
    <row r="7" spans="1:23" x14ac:dyDescent="0.35">
      <c r="A7" s="46">
        <v>46265</v>
      </c>
      <c r="B7" s="36" t="s">
        <v>653</v>
      </c>
      <c r="C7" s="35" t="s">
        <v>264</v>
      </c>
      <c r="D7" s="24" t="s">
        <v>265</v>
      </c>
      <c r="E7" s="35" t="s">
        <v>204</v>
      </c>
      <c r="F7" s="35" t="s">
        <v>267</v>
      </c>
      <c r="G7" s="36">
        <v>12</v>
      </c>
      <c r="H7" s="36">
        <v>3</v>
      </c>
      <c r="I7" s="36">
        <v>4</v>
      </c>
      <c r="J7" s="36">
        <v>12</v>
      </c>
      <c r="K7" s="36" t="s">
        <v>131</v>
      </c>
      <c r="L7" s="36">
        <v>9</v>
      </c>
      <c r="M7" s="36">
        <v>15</v>
      </c>
      <c r="N7" s="35" t="s">
        <v>155</v>
      </c>
      <c r="O7" s="35" t="s">
        <v>656</v>
      </c>
      <c r="P7" s="35" t="s">
        <v>143</v>
      </c>
      <c r="Q7" s="36" t="s">
        <v>143</v>
      </c>
      <c r="R7" s="36">
        <v>0</v>
      </c>
      <c r="S7" s="36"/>
      <c r="T7" s="46">
        <v>46295</v>
      </c>
      <c r="U7" s="36" t="s">
        <v>194</v>
      </c>
      <c r="V7" s="35" t="s">
        <v>655</v>
      </c>
      <c r="W7" s="38" t="str">
        <f t="shared" si="0"/>
        <v>46265|R-002</v>
      </c>
    </row>
    <row r="8" spans="1:23" x14ac:dyDescent="0.35">
      <c r="A8" s="46">
        <v>46265</v>
      </c>
      <c r="B8" s="36" t="s">
        <v>653</v>
      </c>
      <c r="C8" s="35" t="s">
        <v>275</v>
      </c>
      <c r="D8" s="24" t="s">
        <v>276</v>
      </c>
      <c r="E8" s="35" t="s">
        <v>200</v>
      </c>
      <c r="F8" s="35" t="s">
        <v>278</v>
      </c>
      <c r="G8" s="36">
        <v>12</v>
      </c>
      <c r="H8" s="36">
        <v>3</v>
      </c>
      <c r="I8" s="36">
        <v>4</v>
      </c>
      <c r="J8" s="36">
        <v>12</v>
      </c>
      <c r="K8" s="36" t="s">
        <v>131</v>
      </c>
      <c r="L8" s="36">
        <v>4</v>
      </c>
      <c r="M8" s="36">
        <v>8</v>
      </c>
      <c r="N8" s="35" t="s">
        <v>158</v>
      </c>
      <c r="O8" s="35" t="s">
        <v>654</v>
      </c>
      <c r="P8" s="35" t="s">
        <v>143</v>
      </c>
      <c r="Q8" s="36" t="s">
        <v>141</v>
      </c>
      <c r="R8" s="36">
        <v>0</v>
      </c>
      <c r="S8" s="36" t="s">
        <v>657</v>
      </c>
      <c r="T8" s="46"/>
      <c r="U8" s="36" t="s">
        <v>194</v>
      </c>
      <c r="V8" s="35" t="s">
        <v>655</v>
      </c>
      <c r="W8" s="38" t="str">
        <f t="shared" si="0"/>
        <v>46265|R-004</v>
      </c>
    </row>
    <row r="9" spans="1:23" x14ac:dyDescent="0.35">
      <c r="A9" s="46">
        <v>46265</v>
      </c>
      <c r="B9" s="36" t="s">
        <v>653</v>
      </c>
      <c r="C9" s="35" t="s">
        <v>281</v>
      </c>
      <c r="D9" s="24" t="s">
        <v>282</v>
      </c>
      <c r="E9" s="35" t="s">
        <v>210</v>
      </c>
      <c r="F9" s="35" t="s">
        <v>284</v>
      </c>
      <c r="G9" s="36">
        <v>12</v>
      </c>
      <c r="H9" s="36">
        <v>3</v>
      </c>
      <c r="I9" s="36">
        <v>3</v>
      </c>
      <c r="J9" s="36">
        <v>9</v>
      </c>
      <c r="K9" s="36" t="s">
        <v>129</v>
      </c>
      <c r="L9" s="36">
        <v>9</v>
      </c>
      <c r="M9" s="36">
        <v>15</v>
      </c>
      <c r="N9" s="35" t="s">
        <v>152</v>
      </c>
      <c r="O9" s="35" t="s">
        <v>152</v>
      </c>
      <c r="P9" s="35" t="s">
        <v>141</v>
      </c>
      <c r="Q9" s="36" t="s">
        <v>145</v>
      </c>
      <c r="R9" s="36">
        <v>0</v>
      </c>
      <c r="S9" s="36"/>
      <c r="T9" s="46"/>
      <c r="U9" s="36" t="s">
        <v>194</v>
      </c>
      <c r="V9" s="35" t="s">
        <v>655</v>
      </c>
      <c r="W9" s="38" t="str">
        <f t="shared" si="0"/>
        <v>46265|R-005</v>
      </c>
    </row>
    <row r="10" spans="1:23" x14ac:dyDescent="0.35">
      <c r="A10" s="46">
        <v>46265</v>
      </c>
      <c r="B10" s="36" t="s">
        <v>653</v>
      </c>
      <c r="C10" s="35" t="s">
        <v>287</v>
      </c>
      <c r="D10" s="24" t="s">
        <v>288</v>
      </c>
      <c r="E10" s="35" t="s">
        <v>206</v>
      </c>
      <c r="F10" s="35" t="s">
        <v>290</v>
      </c>
      <c r="G10" s="36">
        <v>15</v>
      </c>
      <c r="H10" s="36">
        <v>5</v>
      </c>
      <c r="I10" s="36">
        <v>3</v>
      </c>
      <c r="J10" s="36">
        <v>15</v>
      </c>
      <c r="K10" s="36" t="s">
        <v>131</v>
      </c>
      <c r="L10" s="36">
        <v>9</v>
      </c>
      <c r="M10" s="36">
        <v>15</v>
      </c>
      <c r="N10" s="35" t="s">
        <v>155</v>
      </c>
      <c r="O10" s="35" t="s">
        <v>658</v>
      </c>
      <c r="P10" s="35" t="s">
        <v>145</v>
      </c>
      <c r="Q10" s="36" t="s">
        <v>145</v>
      </c>
      <c r="R10" s="36">
        <v>0</v>
      </c>
      <c r="S10" s="36" t="s">
        <v>657</v>
      </c>
      <c r="T10" s="46"/>
      <c r="U10" s="36" t="s">
        <v>194</v>
      </c>
      <c r="V10" s="35" t="s">
        <v>655</v>
      </c>
      <c r="W10" s="38" t="str">
        <f t="shared" si="0"/>
        <v>46265|R-006</v>
      </c>
    </row>
    <row r="11" spans="1:23" x14ac:dyDescent="0.35">
      <c r="A11" s="46">
        <v>46265</v>
      </c>
      <c r="B11" s="36" t="s">
        <v>653</v>
      </c>
      <c r="C11" s="35" t="s">
        <v>293</v>
      </c>
      <c r="D11" s="24" t="s">
        <v>294</v>
      </c>
      <c r="E11" s="35" t="s">
        <v>94</v>
      </c>
      <c r="F11" s="35" t="s">
        <v>296</v>
      </c>
      <c r="G11" s="36">
        <v>9</v>
      </c>
      <c r="H11" s="36">
        <v>2</v>
      </c>
      <c r="I11" s="36">
        <v>3</v>
      </c>
      <c r="J11" s="36">
        <v>6</v>
      </c>
      <c r="K11" s="36" t="s">
        <v>129</v>
      </c>
      <c r="L11" s="36">
        <v>9</v>
      </c>
      <c r="M11" s="36">
        <v>15</v>
      </c>
      <c r="N11" s="35" t="s">
        <v>152</v>
      </c>
      <c r="O11" s="35" t="s">
        <v>152</v>
      </c>
      <c r="P11" s="35" t="s">
        <v>141</v>
      </c>
      <c r="Q11" s="36" t="s">
        <v>145</v>
      </c>
      <c r="R11" s="36">
        <v>0</v>
      </c>
      <c r="S11" s="36"/>
      <c r="T11" s="46"/>
      <c r="U11" s="36" t="s">
        <v>194</v>
      </c>
      <c r="V11" s="35" t="s">
        <v>655</v>
      </c>
      <c r="W11" s="38" t="str">
        <f t="shared" si="0"/>
        <v>46265|R-007</v>
      </c>
    </row>
    <row r="12" spans="1:23" x14ac:dyDescent="0.35">
      <c r="A12" s="46">
        <v>46265</v>
      </c>
      <c r="B12" s="36" t="s">
        <v>653</v>
      </c>
      <c r="C12" s="35" t="s">
        <v>299</v>
      </c>
      <c r="D12" s="24" t="s">
        <v>300</v>
      </c>
      <c r="E12" s="35" t="s">
        <v>190</v>
      </c>
      <c r="F12" s="35" t="s">
        <v>302</v>
      </c>
      <c r="G12" s="36">
        <v>10</v>
      </c>
      <c r="H12" s="36">
        <v>2</v>
      </c>
      <c r="I12" s="36">
        <v>5</v>
      </c>
      <c r="J12" s="36">
        <v>10</v>
      </c>
      <c r="K12" s="36" t="s">
        <v>131</v>
      </c>
      <c r="L12" s="36">
        <v>12</v>
      </c>
      <c r="M12" s="36">
        <v>20</v>
      </c>
      <c r="N12" s="35" t="s">
        <v>152</v>
      </c>
      <c r="O12" s="35" t="s">
        <v>152</v>
      </c>
      <c r="P12" s="35" t="s">
        <v>141</v>
      </c>
      <c r="Q12" s="36" t="s">
        <v>139</v>
      </c>
      <c r="R12" s="36">
        <v>0</v>
      </c>
      <c r="S12" s="36"/>
      <c r="T12" s="46"/>
      <c r="U12" s="36" t="s">
        <v>194</v>
      </c>
      <c r="V12" s="35" t="s">
        <v>659</v>
      </c>
      <c r="W12" s="38" t="str">
        <f t="shared" si="0"/>
        <v>46265|R-008</v>
      </c>
    </row>
    <row r="13" spans="1:23" x14ac:dyDescent="0.35">
      <c r="A13" s="46">
        <v>46295</v>
      </c>
      <c r="B13" s="36" t="s">
        <v>660</v>
      </c>
      <c r="C13" s="35" t="s">
        <v>258</v>
      </c>
      <c r="D13" s="24" t="s">
        <v>259</v>
      </c>
      <c r="E13" s="35" t="s">
        <v>197</v>
      </c>
      <c r="F13" s="35" t="s">
        <v>261</v>
      </c>
      <c r="G13" s="36">
        <v>20</v>
      </c>
      <c r="H13" s="36">
        <v>3</v>
      </c>
      <c r="I13" s="36">
        <v>5</v>
      </c>
      <c r="J13" s="36">
        <v>15</v>
      </c>
      <c r="K13" s="36" t="s">
        <v>131</v>
      </c>
      <c r="L13" s="36">
        <v>6</v>
      </c>
      <c r="M13" s="36">
        <v>10</v>
      </c>
      <c r="N13" s="35" t="s">
        <v>158</v>
      </c>
      <c r="O13" s="35" t="s">
        <v>654</v>
      </c>
      <c r="P13" s="35" t="s">
        <v>141</v>
      </c>
      <c r="Q13" s="36" t="s">
        <v>141</v>
      </c>
      <c r="R13" s="36">
        <v>2</v>
      </c>
      <c r="S13" s="36"/>
      <c r="T13" s="46"/>
      <c r="U13" s="36" t="s">
        <v>194</v>
      </c>
      <c r="V13" s="35" t="s">
        <v>655</v>
      </c>
      <c r="W13" s="38" t="str">
        <f t="shared" si="0"/>
        <v>46295|R-001</v>
      </c>
    </row>
    <row r="14" spans="1:23" x14ac:dyDescent="0.35">
      <c r="A14" s="46">
        <v>46295</v>
      </c>
      <c r="B14" s="36" t="s">
        <v>660</v>
      </c>
      <c r="C14" s="35" t="s">
        <v>264</v>
      </c>
      <c r="D14" s="24" t="s">
        <v>265</v>
      </c>
      <c r="E14" s="35" t="s">
        <v>204</v>
      </c>
      <c r="F14" s="35" t="s">
        <v>267</v>
      </c>
      <c r="G14" s="36">
        <v>16</v>
      </c>
      <c r="H14" s="36">
        <v>4</v>
      </c>
      <c r="I14" s="36">
        <v>4</v>
      </c>
      <c r="J14" s="36">
        <v>16</v>
      </c>
      <c r="K14" s="36" t="s">
        <v>131</v>
      </c>
      <c r="L14" s="36">
        <v>9</v>
      </c>
      <c r="M14" s="36">
        <v>15</v>
      </c>
      <c r="N14" s="35" t="s">
        <v>158</v>
      </c>
      <c r="O14" s="35" t="s">
        <v>656</v>
      </c>
      <c r="P14" s="35" t="s">
        <v>143</v>
      </c>
      <c r="Q14" s="36" t="s">
        <v>143</v>
      </c>
      <c r="R14" s="36">
        <v>0</v>
      </c>
      <c r="S14" s="36"/>
      <c r="T14" s="46">
        <v>46295</v>
      </c>
      <c r="U14" s="36" t="s">
        <v>194</v>
      </c>
      <c r="V14" s="35" t="s">
        <v>655</v>
      </c>
      <c r="W14" s="38" t="str">
        <f t="shared" si="0"/>
        <v>46295|R-002</v>
      </c>
    </row>
    <row r="15" spans="1:23" x14ac:dyDescent="0.35">
      <c r="A15" s="46">
        <v>46295</v>
      </c>
      <c r="B15" s="36" t="s">
        <v>660</v>
      </c>
      <c r="C15" s="35" t="s">
        <v>270</v>
      </c>
      <c r="D15" s="24" t="s">
        <v>271</v>
      </c>
      <c r="E15" s="35" t="s">
        <v>208</v>
      </c>
      <c r="F15" s="35" t="s">
        <v>273</v>
      </c>
      <c r="G15" s="36">
        <v>9</v>
      </c>
      <c r="H15" s="36">
        <v>3</v>
      </c>
      <c r="I15" s="36">
        <v>3</v>
      </c>
      <c r="J15" s="36">
        <v>9</v>
      </c>
      <c r="K15" s="36" t="s">
        <v>129</v>
      </c>
      <c r="L15" s="36">
        <v>6</v>
      </c>
      <c r="M15" s="36">
        <v>10</v>
      </c>
      <c r="N15" s="35" t="s">
        <v>155</v>
      </c>
      <c r="O15" s="35" t="s">
        <v>656</v>
      </c>
      <c r="P15" s="35" t="s">
        <v>143</v>
      </c>
      <c r="Q15" s="36" t="s">
        <v>143</v>
      </c>
      <c r="R15" s="36">
        <v>0</v>
      </c>
      <c r="S15" s="36"/>
      <c r="T15" s="46">
        <v>46477</v>
      </c>
      <c r="U15" s="36" t="s">
        <v>194</v>
      </c>
      <c r="V15" s="35" t="s">
        <v>655</v>
      </c>
      <c r="W15" s="38" t="str">
        <f t="shared" si="0"/>
        <v>46295|R-003</v>
      </c>
    </row>
    <row r="16" spans="1:23" x14ac:dyDescent="0.35">
      <c r="A16" s="46">
        <v>46295</v>
      </c>
      <c r="B16" s="36" t="s">
        <v>660</v>
      </c>
      <c r="C16" s="35" t="s">
        <v>275</v>
      </c>
      <c r="D16" s="24" t="s">
        <v>276</v>
      </c>
      <c r="E16" s="35" t="s">
        <v>200</v>
      </c>
      <c r="F16" s="35" t="s">
        <v>278</v>
      </c>
      <c r="G16" s="36">
        <v>12</v>
      </c>
      <c r="H16" s="36">
        <v>2</v>
      </c>
      <c r="I16" s="36">
        <v>4</v>
      </c>
      <c r="J16" s="36">
        <v>8</v>
      </c>
      <c r="K16" s="36" t="s">
        <v>129</v>
      </c>
      <c r="L16" s="36">
        <v>4</v>
      </c>
      <c r="M16" s="36">
        <v>8</v>
      </c>
      <c r="N16" s="35" t="s">
        <v>155</v>
      </c>
      <c r="O16" s="35" t="s">
        <v>654</v>
      </c>
      <c r="P16" s="35" t="s">
        <v>139</v>
      </c>
      <c r="Q16" s="36" t="s">
        <v>141</v>
      </c>
      <c r="R16" s="36">
        <v>0</v>
      </c>
      <c r="S16" s="36" t="s">
        <v>657</v>
      </c>
      <c r="T16" s="46"/>
      <c r="U16" s="36" t="s">
        <v>194</v>
      </c>
      <c r="V16" s="35" t="s">
        <v>655</v>
      </c>
      <c r="W16" s="38" t="str">
        <f t="shared" si="0"/>
        <v>46295|R-004</v>
      </c>
    </row>
    <row r="17" spans="1:23" x14ac:dyDescent="0.35">
      <c r="A17" s="46">
        <v>46295</v>
      </c>
      <c r="B17" s="36" t="s">
        <v>660</v>
      </c>
      <c r="C17" s="35" t="s">
        <v>281</v>
      </c>
      <c r="D17" s="24" t="s">
        <v>282</v>
      </c>
      <c r="E17" s="35" t="s">
        <v>210</v>
      </c>
      <c r="F17" s="35" t="s">
        <v>284</v>
      </c>
      <c r="G17" s="36">
        <v>12</v>
      </c>
      <c r="H17" s="36">
        <v>3</v>
      </c>
      <c r="I17" s="36">
        <v>3</v>
      </c>
      <c r="J17" s="36">
        <v>9</v>
      </c>
      <c r="K17" s="36" t="s">
        <v>129</v>
      </c>
      <c r="L17" s="36">
        <v>9</v>
      </c>
      <c r="M17" s="36">
        <v>15</v>
      </c>
      <c r="N17" s="35" t="s">
        <v>152</v>
      </c>
      <c r="O17" s="35" t="s">
        <v>152</v>
      </c>
      <c r="P17" s="35" t="s">
        <v>141</v>
      </c>
      <c r="Q17" s="36" t="s">
        <v>145</v>
      </c>
      <c r="R17" s="36">
        <v>0</v>
      </c>
      <c r="S17" s="36"/>
      <c r="T17" s="46"/>
      <c r="U17" s="36" t="s">
        <v>194</v>
      </c>
      <c r="V17" s="35" t="s">
        <v>655</v>
      </c>
      <c r="W17" s="38" t="str">
        <f t="shared" si="0"/>
        <v>46295|R-005</v>
      </c>
    </row>
    <row r="18" spans="1:23" x14ac:dyDescent="0.35">
      <c r="A18" s="46">
        <v>46295</v>
      </c>
      <c r="B18" s="36" t="s">
        <v>660</v>
      </c>
      <c r="C18" s="35" t="s">
        <v>287</v>
      </c>
      <c r="D18" s="24" t="s">
        <v>288</v>
      </c>
      <c r="E18" s="35" t="s">
        <v>206</v>
      </c>
      <c r="F18" s="35" t="s">
        <v>290</v>
      </c>
      <c r="G18" s="36">
        <v>15</v>
      </c>
      <c r="H18" s="36">
        <v>5</v>
      </c>
      <c r="I18" s="36">
        <v>3</v>
      </c>
      <c r="J18" s="36">
        <v>15</v>
      </c>
      <c r="K18" s="36" t="s">
        <v>131</v>
      </c>
      <c r="L18" s="36">
        <v>9</v>
      </c>
      <c r="M18" s="36">
        <v>15</v>
      </c>
      <c r="N18" s="35" t="s">
        <v>155</v>
      </c>
      <c r="O18" s="35" t="s">
        <v>658</v>
      </c>
      <c r="P18" s="35" t="s">
        <v>145</v>
      </c>
      <c r="Q18" s="36" t="s">
        <v>145</v>
      </c>
      <c r="R18" s="36">
        <v>1</v>
      </c>
      <c r="S18" s="36"/>
      <c r="T18" s="46"/>
      <c r="U18" s="36" t="s">
        <v>194</v>
      </c>
      <c r="V18" s="35" t="s">
        <v>655</v>
      </c>
      <c r="W18" s="38" t="str">
        <f t="shared" si="0"/>
        <v>46295|R-006</v>
      </c>
    </row>
    <row r="19" spans="1:23" x14ac:dyDescent="0.35">
      <c r="A19" s="46">
        <v>46295</v>
      </c>
      <c r="B19" s="36" t="s">
        <v>660</v>
      </c>
      <c r="C19" s="35" t="s">
        <v>293</v>
      </c>
      <c r="D19" s="24" t="s">
        <v>294</v>
      </c>
      <c r="E19" s="35" t="s">
        <v>94</v>
      </c>
      <c r="F19" s="35" t="s">
        <v>296</v>
      </c>
      <c r="G19" s="36">
        <v>9</v>
      </c>
      <c r="H19" s="36">
        <v>3</v>
      </c>
      <c r="I19" s="36">
        <v>3</v>
      </c>
      <c r="J19" s="36">
        <v>9</v>
      </c>
      <c r="K19" s="36" t="s">
        <v>129</v>
      </c>
      <c r="L19" s="36">
        <v>9</v>
      </c>
      <c r="M19" s="36">
        <v>15</v>
      </c>
      <c r="N19" s="35" t="s">
        <v>152</v>
      </c>
      <c r="O19" s="35" t="s">
        <v>152</v>
      </c>
      <c r="P19" s="35" t="s">
        <v>141</v>
      </c>
      <c r="Q19" s="36" t="s">
        <v>145</v>
      </c>
      <c r="R19" s="36">
        <v>0</v>
      </c>
      <c r="S19" s="36"/>
      <c r="T19" s="46"/>
      <c r="U19" s="36" t="s">
        <v>194</v>
      </c>
      <c r="V19" s="35" t="s">
        <v>659</v>
      </c>
      <c r="W19" s="38" t="str">
        <f t="shared" si="0"/>
        <v>46295|R-007</v>
      </c>
    </row>
    <row r="20" spans="1:23" x14ac:dyDescent="0.35">
      <c r="A20" s="46">
        <v>46295</v>
      </c>
      <c r="B20" s="36" t="s">
        <v>660</v>
      </c>
      <c r="C20" s="35" t="s">
        <v>299</v>
      </c>
      <c r="D20" s="24" t="s">
        <v>300</v>
      </c>
      <c r="E20" s="35" t="s">
        <v>190</v>
      </c>
      <c r="F20" s="35" t="s">
        <v>302</v>
      </c>
      <c r="G20" s="36">
        <v>10</v>
      </c>
      <c r="H20" s="36">
        <v>2</v>
      </c>
      <c r="I20" s="36">
        <v>5</v>
      </c>
      <c r="J20" s="36">
        <v>10</v>
      </c>
      <c r="K20" s="36" t="s">
        <v>131</v>
      </c>
      <c r="L20" s="36">
        <v>12</v>
      </c>
      <c r="M20" s="36">
        <v>20</v>
      </c>
      <c r="N20" s="35" t="s">
        <v>152</v>
      </c>
      <c r="O20" s="35" t="s">
        <v>152</v>
      </c>
      <c r="P20" s="35" t="s">
        <v>141</v>
      </c>
      <c r="Q20" s="36" t="s">
        <v>139</v>
      </c>
      <c r="R20" s="36">
        <v>0</v>
      </c>
      <c r="S20" s="36"/>
      <c r="T20" s="46"/>
      <c r="U20" s="36" t="s">
        <v>194</v>
      </c>
      <c r="V20" s="35" t="s">
        <v>659</v>
      </c>
      <c r="W20" s="38" t="str">
        <f t="shared" si="0"/>
        <v>46295|R-008</v>
      </c>
    </row>
    <row r="21" spans="1:23" x14ac:dyDescent="0.35">
      <c r="A21" s="46"/>
      <c r="B21" s="36"/>
      <c r="C21" s="35"/>
      <c r="D21" s="24"/>
      <c r="E21" s="35"/>
      <c r="F21" s="35"/>
      <c r="G21" s="36"/>
      <c r="H21" s="36"/>
      <c r="I21" s="36"/>
      <c r="J21" s="36"/>
      <c r="K21" s="36"/>
      <c r="L21" s="36"/>
      <c r="M21" s="36"/>
      <c r="N21" s="35"/>
      <c r="O21" s="35"/>
      <c r="P21" s="35"/>
      <c r="Q21" s="36"/>
      <c r="R21" s="36"/>
      <c r="S21" s="36"/>
      <c r="T21" s="46"/>
      <c r="U21" s="36"/>
      <c r="V21" s="35"/>
      <c r="W21" s="38" t="str">
        <f t="shared" si="0"/>
        <v/>
      </c>
    </row>
    <row r="22" spans="1:23" x14ac:dyDescent="0.35">
      <c r="A22" s="46"/>
      <c r="B22" s="36"/>
      <c r="C22" s="35"/>
      <c r="D22" s="24"/>
      <c r="E22" s="35"/>
      <c r="F22" s="35"/>
      <c r="G22" s="36"/>
      <c r="H22" s="36"/>
      <c r="I22" s="36"/>
      <c r="J22" s="36"/>
      <c r="K22" s="36"/>
      <c r="L22" s="36"/>
      <c r="M22" s="36"/>
      <c r="N22" s="35"/>
      <c r="O22" s="35"/>
      <c r="P22" s="35"/>
      <c r="Q22" s="36"/>
      <c r="R22" s="36"/>
      <c r="S22" s="36"/>
      <c r="T22" s="46"/>
      <c r="U22" s="36"/>
      <c r="V22" s="35"/>
      <c r="W22" s="38" t="str">
        <f t="shared" si="0"/>
        <v/>
      </c>
    </row>
    <row r="23" spans="1:23" x14ac:dyDescent="0.35">
      <c r="A23" s="46"/>
      <c r="B23" s="36"/>
      <c r="C23" s="35"/>
      <c r="D23" s="24"/>
      <c r="E23" s="35"/>
      <c r="F23" s="35"/>
      <c r="G23" s="36"/>
      <c r="H23" s="36"/>
      <c r="I23" s="36"/>
      <c r="J23" s="36"/>
      <c r="K23" s="36"/>
      <c r="L23" s="36"/>
      <c r="M23" s="36"/>
      <c r="N23" s="35"/>
      <c r="O23" s="35"/>
      <c r="P23" s="35"/>
      <c r="Q23" s="36"/>
      <c r="R23" s="36"/>
      <c r="S23" s="36"/>
      <c r="T23" s="46"/>
      <c r="U23" s="36"/>
      <c r="V23" s="35"/>
      <c r="W23" s="38" t="str">
        <f t="shared" si="0"/>
        <v/>
      </c>
    </row>
    <row r="24" spans="1:23" x14ac:dyDescent="0.35">
      <c r="A24" s="46"/>
      <c r="B24" s="36"/>
      <c r="C24" s="35"/>
      <c r="D24" s="24"/>
      <c r="E24" s="35"/>
      <c r="F24" s="35"/>
      <c r="G24" s="36"/>
      <c r="H24" s="36"/>
      <c r="I24" s="36"/>
      <c r="J24" s="36"/>
      <c r="K24" s="36"/>
      <c r="L24" s="36"/>
      <c r="M24" s="36"/>
      <c r="N24" s="35"/>
      <c r="O24" s="35"/>
      <c r="P24" s="35"/>
      <c r="Q24" s="36"/>
      <c r="R24" s="36"/>
      <c r="S24" s="36"/>
      <c r="T24" s="46"/>
      <c r="U24" s="36"/>
      <c r="V24" s="35"/>
      <c r="W24" s="38" t="str">
        <f t="shared" si="0"/>
        <v/>
      </c>
    </row>
    <row r="25" spans="1:23" x14ac:dyDescent="0.35">
      <c r="A25" s="46"/>
      <c r="B25" s="36"/>
      <c r="C25" s="35"/>
      <c r="D25" s="24"/>
      <c r="E25" s="35"/>
      <c r="F25" s="35"/>
      <c r="G25" s="36"/>
      <c r="H25" s="36"/>
      <c r="I25" s="36"/>
      <c r="J25" s="36"/>
      <c r="K25" s="36"/>
      <c r="L25" s="36"/>
      <c r="M25" s="36"/>
      <c r="N25" s="35"/>
      <c r="O25" s="35"/>
      <c r="P25" s="35"/>
      <c r="Q25" s="36"/>
      <c r="R25" s="36"/>
      <c r="S25" s="36"/>
      <c r="T25" s="46"/>
      <c r="U25" s="36"/>
      <c r="V25" s="35"/>
      <c r="W25" s="38" t="str">
        <f t="shared" si="0"/>
        <v/>
      </c>
    </row>
    <row r="26" spans="1:23" x14ac:dyDescent="0.35">
      <c r="A26" s="46"/>
      <c r="B26" s="36"/>
      <c r="C26" s="35"/>
      <c r="D26" s="24"/>
      <c r="E26" s="35"/>
      <c r="F26" s="35"/>
      <c r="G26" s="36"/>
      <c r="H26" s="36"/>
      <c r="I26" s="36"/>
      <c r="J26" s="36"/>
      <c r="K26" s="36"/>
      <c r="L26" s="36"/>
      <c r="M26" s="36"/>
      <c r="N26" s="35"/>
      <c r="O26" s="35"/>
      <c r="P26" s="35"/>
      <c r="Q26" s="36"/>
      <c r="R26" s="36"/>
      <c r="S26" s="36"/>
      <c r="T26" s="46"/>
      <c r="U26" s="36"/>
      <c r="V26" s="35"/>
      <c r="W26" s="38" t="str">
        <f t="shared" si="0"/>
        <v/>
      </c>
    </row>
    <row r="27" spans="1:23" x14ac:dyDescent="0.35">
      <c r="A27" s="46"/>
      <c r="B27" s="36"/>
      <c r="C27" s="35"/>
      <c r="D27" s="24"/>
      <c r="E27" s="35"/>
      <c r="F27" s="35"/>
      <c r="G27" s="36"/>
      <c r="H27" s="36"/>
      <c r="I27" s="36"/>
      <c r="J27" s="36"/>
      <c r="K27" s="36"/>
      <c r="L27" s="36"/>
      <c r="M27" s="36"/>
      <c r="N27" s="35"/>
      <c r="O27" s="35"/>
      <c r="P27" s="35"/>
      <c r="Q27" s="36"/>
      <c r="R27" s="36"/>
      <c r="S27" s="36"/>
      <c r="T27" s="46"/>
      <c r="U27" s="36"/>
      <c r="V27" s="35"/>
      <c r="W27" s="38" t="str">
        <f t="shared" si="0"/>
        <v/>
      </c>
    </row>
    <row r="28" spans="1:23" x14ac:dyDescent="0.35">
      <c r="A28" s="46"/>
      <c r="B28" s="36"/>
      <c r="C28" s="35"/>
      <c r="D28" s="24"/>
      <c r="E28" s="35"/>
      <c r="F28" s="35"/>
      <c r="G28" s="36"/>
      <c r="H28" s="36"/>
      <c r="I28" s="36"/>
      <c r="J28" s="36"/>
      <c r="K28" s="36"/>
      <c r="L28" s="36"/>
      <c r="M28" s="36"/>
      <c r="N28" s="35"/>
      <c r="O28" s="35"/>
      <c r="P28" s="35"/>
      <c r="Q28" s="36"/>
      <c r="R28" s="36"/>
      <c r="S28" s="36"/>
      <c r="T28" s="46"/>
      <c r="U28" s="36"/>
      <c r="V28" s="35"/>
      <c r="W28" s="38" t="str">
        <f t="shared" si="0"/>
        <v/>
      </c>
    </row>
    <row r="29" spans="1:23" x14ac:dyDescent="0.35">
      <c r="A29" s="46"/>
      <c r="B29" s="36"/>
      <c r="C29" s="35"/>
      <c r="D29" s="24"/>
      <c r="E29" s="35"/>
      <c r="F29" s="35"/>
      <c r="G29" s="36"/>
      <c r="H29" s="36"/>
      <c r="I29" s="36"/>
      <c r="J29" s="36"/>
      <c r="K29" s="36"/>
      <c r="L29" s="36"/>
      <c r="M29" s="36"/>
      <c r="N29" s="35"/>
      <c r="O29" s="35"/>
      <c r="P29" s="35"/>
      <c r="Q29" s="36"/>
      <c r="R29" s="36"/>
      <c r="S29" s="36"/>
      <c r="T29" s="46"/>
      <c r="U29" s="36"/>
      <c r="V29" s="35"/>
      <c r="W29" s="38" t="str">
        <f t="shared" si="0"/>
        <v/>
      </c>
    </row>
    <row r="30" spans="1:23" x14ac:dyDescent="0.35">
      <c r="A30" s="46"/>
      <c r="B30" s="36"/>
      <c r="C30" s="35"/>
      <c r="D30" s="24"/>
      <c r="E30" s="35"/>
      <c r="F30" s="35"/>
      <c r="G30" s="36"/>
      <c r="H30" s="36"/>
      <c r="I30" s="36"/>
      <c r="J30" s="36"/>
      <c r="K30" s="36"/>
      <c r="L30" s="36"/>
      <c r="M30" s="36"/>
      <c r="N30" s="35"/>
      <c r="O30" s="35"/>
      <c r="P30" s="35"/>
      <c r="Q30" s="36"/>
      <c r="R30" s="36"/>
      <c r="S30" s="36"/>
      <c r="T30" s="46"/>
      <c r="U30" s="36"/>
      <c r="V30" s="35"/>
      <c r="W30" s="38" t="str">
        <f t="shared" si="0"/>
        <v/>
      </c>
    </row>
    <row r="31" spans="1:23" x14ac:dyDescent="0.35">
      <c r="A31" s="46"/>
      <c r="B31" s="36"/>
      <c r="C31" s="35"/>
      <c r="D31" s="24"/>
      <c r="E31" s="35"/>
      <c r="F31" s="35"/>
      <c r="G31" s="36"/>
      <c r="H31" s="36"/>
      <c r="I31" s="36"/>
      <c r="J31" s="36"/>
      <c r="K31" s="36"/>
      <c r="L31" s="36"/>
      <c r="M31" s="36"/>
      <c r="N31" s="35"/>
      <c r="O31" s="35"/>
      <c r="P31" s="35"/>
      <c r="Q31" s="36"/>
      <c r="R31" s="36"/>
      <c r="S31" s="36"/>
      <c r="T31" s="46"/>
      <c r="U31" s="36"/>
      <c r="V31" s="35"/>
      <c r="W31" s="38" t="str">
        <f t="shared" si="0"/>
        <v/>
      </c>
    </row>
    <row r="32" spans="1:23" x14ac:dyDescent="0.35">
      <c r="A32" s="46"/>
      <c r="B32" s="36"/>
      <c r="C32" s="35"/>
      <c r="D32" s="24"/>
      <c r="E32" s="35"/>
      <c r="F32" s="35"/>
      <c r="G32" s="36"/>
      <c r="H32" s="36"/>
      <c r="I32" s="36"/>
      <c r="J32" s="36"/>
      <c r="K32" s="36"/>
      <c r="L32" s="36"/>
      <c r="M32" s="36"/>
      <c r="N32" s="35"/>
      <c r="O32" s="35"/>
      <c r="P32" s="35"/>
      <c r="Q32" s="36"/>
      <c r="R32" s="36"/>
      <c r="S32" s="36"/>
      <c r="T32" s="46"/>
      <c r="U32" s="36"/>
      <c r="V32" s="35"/>
      <c r="W32" s="38" t="str">
        <f t="shared" si="0"/>
        <v/>
      </c>
    </row>
    <row r="33" spans="1:23" x14ac:dyDescent="0.35">
      <c r="A33" s="46"/>
      <c r="B33" s="36"/>
      <c r="C33" s="35"/>
      <c r="D33" s="24"/>
      <c r="E33" s="35"/>
      <c r="F33" s="35"/>
      <c r="G33" s="36"/>
      <c r="H33" s="36"/>
      <c r="I33" s="36"/>
      <c r="J33" s="36"/>
      <c r="K33" s="36"/>
      <c r="L33" s="36"/>
      <c r="M33" s="36"/>
      <c r="N33" s="35"/>
      <c r="O33" s="35"/>
      <c r="P33" s="35"/>
      <c r="Q33" s="36"/>
      <c r="R33" s="36"/>
      <c r="S33" s="36"/>
      <c r="T33" s="46"/>
      <c r="U33" s="36"/>
      <c r="V33" s="35"/>
      <c r="W33" s="38" t="str">
        <f t="shared" si="0"/>
        <v/>
      </c>
    </row>
    <row r="34" spans="1:23" x14ac:dyDescent="0.35">
      <c r="A34" s="46"/>
      <c r="B34" s="36"/>
      <c r="C34" s="35"/>
      <c r="D34" s="24"/>
      <c r="E34" s="35"/>
      <c r="F34" s="35"/>
      <c r="G34" s="36"/>
      <c r="H34" s="36"/>
      <c r="I34" s="36"/>
      <c r="J34" s="36"/>
      <c r="K34" s="36"/>
      <c r="L34" s="36"/>
      <c r="M34" s="36"/>
      <c r="N34" s="35"/>
      <c r="O34" s="35"/>
      <c r="P34" s="35"/>
      <c r="Q34" s="36"/>
      <c r="R34" s="36"/>
      <c r="S34" s="36"/>
      <c r="T34" s="46"/>
      <c r="U34" s="36"/>
      <c r="V34" s="35"/>
      <c r="W34" s="38" t="str">
        <f t="shared" si="0"/>
        <v/>
      </c>
    </row>
    <row r="35" spans="1:23" x14ac:dyDescent="0.35">
      <c r="A35" s="46"/>
      <c r="B35" s="36"/>
      <c r="C35" s="35"/>
      <c r="D35" s="24"/>
      <c r="E35" s="35"/>
      <c r="F35" s="35"/>
      <c r="G35" s="36"/>
      <c r="H35" s="36"/>
      <c r="I35" s="36"/>
      <c r="J35" s="36"/>
      <c r="K35" s="36"/>
      <c r="L35" s="36"/>
      <c r="M35" s="36"/>
      <c r="N35" s="35"/>
      <c r="O35" s="35"/>
      <c r="P35" s="35"/>
      <c r="Q35" s="36"/>
      <c r="R35" s="36"/>
      <c r="S35" s="36"/>
      <c r="T35" s="46"/>
      <c r="U35" s="36"/>
      <c r="V35" s="35"/>
      <c r="W35" s="38" t="str">
        <f t="shared" si="0"/>
        <v/>
      </c>
    </row>
    <row r="36" spans="1:23" x14ac:dyDescent="0.35">
      <c r="A36" s="46"/>
      <c r="B36" s="36"/>
      <c r="C36" s="35"/>
      <c r="D36" s="24"/>
      <c r="E36" s="35"/>
      <c r="F36" s="35"/>
      <c r="G36" s="36"/>
      <c r="H36" s="36"/>
      <c r="I36" s="36"/>
      <c r="J36" s="36"/>
      <c r="K36" s="36"/>
      <c r="L36" s="36"/>
      <c r="M36" s="36"/>
      <c r="N36" s="35"/>
      <c r="O36" s="35"/>
      <c r="P36" s="35"/>
      <c r="Q36" s="36"/>
      <c r="R36" s="36"/>
      <c r="S36" s="36"/>
      <c r="T36" s="46"/>
      <c r="U36" s="36"/>
      <c r="V36" s="35"/>
      <c r="W36" s="38" t="str">
        <f t="shared" si="0"/>
        <v/>
      </c>
    </row>
    <row r="37" spans="1:23" x14ac:dyDescent="0.35">
      <c r="A37" s="46"/>
      <c r="B37" s="36"/>
      <c r="C37" s="35"/>
      <c r="D37" s="24"/>
      <c r="E37" s="35"/>
      <c r="F37" s="35"/>
      <c r="G37" s="36"/>
      <c r="H37" s="36"/>
      <c r="I37" s="36"/>
      <c r="J37" s="36"/>
      <c r="K37" s="36"/>
      <c r="L37" s="36"/>
      <c r="M37" s="36"/>
      <c r="N37" s="35"/>
      <c r="O37" s="35"/>
      <c r="P37" s="35"/>
      <c r="Q37" s="36"/>
      <c r="R37" s="36"/>
      <c r="S37" s="36"/>
      <c r="T37" s="46"/>
      <c r="U37" s="36"/>
      <c r="V37" s="35"/>
      <c r="W37" s="38" t="str">
        <f t="shared" si="0"/>
        <v/>
      </c>
    </row>
    <row r="38" spans="1:23" x14ac:dyDescent="0.35">
      <c r="A38" s="46"/>
      <c r="B38" s="36"/>
      <c r="C38" s="35"/>
      <c r="D38" s="24"/>
      <c r="E38" s="35"/>
      <c r="F38" s="35"/>
      <c r="G38" s="36"/>
      <c r="H38" s="36"/>
      <c r="I38" s="36"/>
      <c r="J38" s="36"/>
      <c r="K38" s="36"/>
      <c r="L38" s="36"/>
      <c r="M38" s="36"/>
      <c r="N38" s="35"/>
      <c r="O38" s="35"/>
      <c r="P38" s="35"/>
      <c r="Q38" s="36"/>
      <c r="R38" s="36"/>
      <c r="S38" s="36"/>
      <c r="T38" s="46"/>
      <c r="U38" s="36"/>
      <c r="V38" s="35"/>
      <c r="W38" s="38" t="str">
        <f t="shared" si="0"/>
        <v/>
      </c>
    </row>
    <row r="39" spans="1:23" x14ac:dyDescent="0.35">
      <c r="A39" s="46"/>
      <c r="B39" s="36"/>
      <c r="C39" s="35"/>
      <c r="D39" s="24"/>
      <c r="E39" s="35"/>
      <c r="F39" s="35"/>
      <c r="G39" s="36"/>
      <c r="H39" s="36"/>
      <c r="I39" s="36"/>
      <c r="J39" s="36"/>
      <c r="K39" s="36"/>
      <c r="L39" s="36"/>
      <c r="M39" s="36"/>
      <c r="N39" s="35"/>
      <c r="O39" s="35"/>
      <c r="P39" s="35"/>
      <c r="Q39" s="36"/>
      <c r="R39" s="36"/>
      <c r="S39" s="36"/>
      <c r="T39" s="46"/>
      <c r="U39" s="36"/>
      <c r="V39" s="35"/>
      <c r="W39" s="38" t="str">
        <f t="shared" si="0"/>
        <v/>
      </c>
    </row>
    <row r="40" spans="1:23" x14ac:dyDescent="0.35">
      <c r="A40" s="46"/>
      <c r="B40" s="36"/>
      <c r="C40" s="35"/>
      <c r="D40" s="24"/>
      <c r="E40" s="35"/>
      <c r="F40" s="35"/>
      <c r="G40" s="36"/>
      <c r="H40" s="36"/>
      <c r="I40" s="36"/>
      <c r="J40" s="36"/>
      <c r="K40" s="36"/>
      <c r="L40" s="36"/>
      <c r="M40" s="36"/>
      <c r="N40" s="35"/>
      <c r="O40" s="35"/>
      <c r="P40" s="35"/>
      <c r="Q40" s="36"/>
      <c r="R40" s="36"/>
      <c r="S40" s="36"/>
      <c r="T40" s="46"/>
      <c r="U40" s="36"/>
      <c r="V40" s="35"/>
      <c r="W40" s="38" t="str">
        <f t="shared" si="0"/>
        <v/>
      </c>
    </row>
    <row r="41" spans="1:23" x14ac:dyDescent="0.35">
      <c r="A41" s="46"/>
      <c r="B41" s="36"/>
      <c r="C41" s="35"/>
      <c r="D41" s="24"/>
      <c r="E41" s="35"/>
      <c r="F41" s="35"/>
      <c r="G41" s="36"/>
      <c r="H41" s="36"/>
      <c r="I41" s="36"/>
      <c r="J41" s="36"/>
      <c r="K41" s="36"/>
      <c r="L41" s="36"/>
      <c r="M41" s="36"/>
      <c r="N41" s="35"/>
      <c r="O41" s="35"/>
      <c r="P41" s="35"/>
      <c r="Q41" s="36"/>
      <c r="R41" s="36"/>
      <c r="S41" s="36"/>
      <c r="T41" s="46"/>
      <c r="U41" s="36"/>
      <c r="V41" s="35"/>
      <c r="W41" s="38" t="str">
        <f t="shared" si="0"/>
        <v/>
      </c>
    </row>
    <row r="42" spans="1:23" x14ac:dyDescent="0.35">
      <c r="A42" s="46"/>
      <c r="B42" s="36"/>
      <c r="C42" s="35"/>
      <c r="D42" s="24"/>
      <c r="E42" s="35"/>
      <c r="F42" s="35"/>
      <c r="G42" s="36"/>
      <c r="H42" s="36"/>
      <c r="I42" s="36"/>
      <c r="J42" s="36"/>
      <c r="K42" s="36"/>
      <c r="L42" s="36"/>
      <c r="M42" s="36"/>
      <c r="N42" s="35"/>
      <c r="O42" s="35"/>
      <c r="P42" s="35"/>
      <c r="Q42" s="36"/>
      <c r="R42" s="36"/>
      <c r="S42" s="36"/>
      <c r="T42" s="46"/>
      <c r="U42" s="36"/>
      <c r="V42" s="35"/>
      <c r="W42" s="38" t="str">
        <f t="shared" si="0"/>
        <v/>
      </c>
    </row>
    <row r="43" spans="1:23" x14ac:dyDescent="0.35">
      <c r="A43" s="46"/>
      <c r="B43" s="36"/>
      <c r="C43" s="35"/>
      <c r="D43" s="24"/>
      <c r="E43" s="35"/>
      <c r="F43" s="35"/>
      <c r="G43" s="36"/>
      <c r="H43" s="36"/>
      <c r="I43" s="36"/>
      <c r="J43" s="36"/>
      <c r="K43" s="36"/>
      <c r="L43" s="36"/>
      <c r="M43" s="36"/>
      <c r="N43" s="35"/>
      <c r="O43" s="35"/>
      <c r="P43" s="35"/>
      <c r="Q43" s="36"/>
      <c r="R43" s="36"/>
      <c r="S43" s="36"/>
      <c r="T43" s="46"/>
      <c r="U43" s="36"/>
      <c r="V43" s="35"/>
      <c r="W43" s="38" t="str">
        <f t="shared" si="0"/>
        <v/>
      </c>
    </row>
    <row r="44" spans="1:23" x14ac:dyDescent="0.35">
      <c r="A44" s="46"/>
      <c r="B44" s="36"/>
      <c r="C44" s="35"/>
      <c r="D44" s="24"/>
      <c r="E44" s="35"/>
      <c r="F44" s="35"/>
      <c r="G44" s="36"/>
      <c r="H44" s="36"/>
      <c r="I44" s="36"/>
      <c r="J44" s="36"/>
      <c r="K44" s="36"/>
      <c r="L44" s="36"/>
      <c r="M44" s="36"/>
      <c r="N44" s="35"/>
      <c r="O44" s="35"/>
      <c r="P44" s="35"/>
      <c r="Q44" s="36"/>
      <c r="R44" s="36"/>
      <c r="S44" s="36"/>
      <c r="T44" s="46"/>
      <c r="U44" s="36"/>
      <c r="V44" s="35"/>
      <c r="W44" s="38" t="str">
        <f t="shared" si="0"/>
        <v/>
      </c>
    </row>
    <row r="45" spans="1:23" x14ac:dyDescent="0.35">
      <c r="A45" s="46"/>
      <c r="B45" s="36"/>
      <c r="C45" s="35"/>
      <c r="D45" s="24"/>
      <c r="E45" s="35"/>
      <c r="F45" s="35"/>
      <c r="G45" s="36"/>
      <c r="H45" s="36"/>
      <c r="I45" s="36"/>
      <c r="J45" s="36"/>
      <c r="K45" s="36"/>
      <c r="L45" s="36"/>
      <c r="M45" s="36"/>
      <c r="N45" s="35"/>
      <c r="O45" s="35"/>
      <c r="P45" s="35"/>
      <c r="Q45" s="36"/>
      <c r="R45" s="36"/>
      <c r="S45" s="36"/>
      <c r="T45" s="46"/>
      <c r="U45" s="36"/>
      <c r="V45" s="35"/>
      <c r="W45" s="38" t="str">
        <f t="shared" si="0"/>
        <v/>
      </c>
    </row>
    <row r="46" spans="1:23" x14ac:dyDescent="0.35">
      <c r="A46" s="46"/>
      <c r="B46" s="36"/>
      <c r="C46" s="35"/>
      <c r="D46" s="24"/>
      <c r="E46" s="35"/>
      <c r="F46" s="35"/>
      <c r="G46" s="36"/>
      <c r="H46" s="36"/>
      <c r="I46" s="36"/>
      <c r="J46" s="36"/>
      <c r="K46" s="36"/>
      <c r="L46" s="36"/>
      <c r="M46" s="36"/>
      <c r="N46" s="35"/>
      <c r="O46" s="35"/>
      <c r="P46" s="35"/>
      <c r="Q46" s="36"/>
      <c r="R46" s="36"/>
      <c r="S46" s="36"/>
      <c r="T46" s="46"/>
      <c r="U46" s="36"/>
      <c r="V46" s="35"/>
      <c r="W46" s="38" t="str">
        <f t="shared" si="0"/>
        <v/>
      </c>
    </row>
    <row r="47" spans="1:23" x14ac:dyDescent="0.35">
      <c r="A47" s="46"/>
      <c r="B47" s="36"/>
      <c r="C47" s="35"/>
      <c r="D47" s="24"/>
      <c r="E47" s="35"/>
      <c r="F47" s="35"/>
      <c r="G47" s="36"/>
      <c r="H47" s="36"/>
      <c r="I47" s="36"/>
      <c r="J47" s="36"/>
      <c r="K47" s="36"/>
      <c r="L47" s="36"/>
      <c r="M47" s="36"/>
      <c r="N47" s="35"/>
      <c r="O47" s="35"/>
      <c r="P47" s="35"/>
      <c r="Q47" s="36"/>
      <c r="R47" s="36"/>
      <c r="S47" s="36"/>
      <c r="T47" s="46"/>
      <c r="U47" s="36"/>
      <c r="V47" s="35"/>
      <c r="W47" s="38" t="str">
        <f t="shared" si="0"/>
        <v/>
      </c>
    </row>
    <row r="48" spans="1:23" x14ac:dyDescent="0.35">
      <c r="A48" s="46"/>
      <c r="B48" s="36"/>
      <c r="C48" s="35"/>
      <c r="D48" s="24"/>
      <c r="E48" s="35"/>
      <c r="F48" s="35"/>
      <c r="G48" s="36"/>
      <c r="H48" s="36"/>
      <c r="I48" s="36"/>
      <c r="J48" s="36"/>
      <c r="K48" s="36"/>
      <c r="L48" s="36"/>
      <c r="M48" s="36"/>
      <c r="N48" s="35"/>
      <c r="O48" s="35"/>
      <c r="P48" s="35"/>
      <c r="Q48" s="36"/>
      <c r="R48" s="36"/>
      <c r="S48" s="36"/>
      <c r="T48" s="46"/>
      <c r="U48" s="36"/>
      <c r="V48" s="35"/>
      <c r="W48" s="38" t="str">
        <f t="shared" si="0"/>
        <v/>
      </c>
    </row>
    <row r="49" spans="1:23" x14ac:dyDescent="0.35">
      <c r="A49" s="46"/>
      <c r="B49" s="36"/>
      <c r="C49" s="35"/>
      <c r="D49" s="24"/>
      <c r="E49" s="35"/>
      <c r="F49" s="35"/>
      <c r="G49" s="36"/>
      <c r="H49" s="36"/>
      <c r="I49" s="36"/>
      <c r="J49" s="36"/>
      <c r="K49" s="36"/>
      <c r="L49" s="36"/>
      <c r="M49" s="36"/>
      <c r="N49" s="35"/>
      <c r="O49" s="35"/>
      <c r="P49" s="35"/>
      <c r="Q49" s="36"/>
      <c r="R49" s="36"/>
      <c r="S49" s="36"/>
      <c r="T49" s="46"/>
      <c r="U49" s="36"/>
      <c r="V49" s="35"/>
      <c r="W49" s="38" t="str">
        <f t="shared" si="0"/>
        <v/>
      </c>
    </row>
    <row r="50" spans="1:23" x14ac:dyDescent="0.35">
      <c r="A50" s="46"/>
      <c r="B50" s="36"/>
      <c r="C50" s="35"/>
      <c r="D50" s="24"/>
      <c r="E50" s="35"/>
      <c r="F50" s="35"/>
      <c r="G50" s="36"/>
      <c r="H50" s="36"/>
      <c r="I50" s="36"/>
      <c r="J50" s="36"/>
      <c r="K50" s="36"/>
      <c r="L50" s="36"/>
      <c r="M50" s="36"/>
      <c r="N50" s="35"/>
      <c r="O50" s="35"/>
      <c r="P50" s="35"/>
      <c r="Q50" s="36"/>
      <c r="R50" s="36"/>
      <c r="S50" s="36"/>
      <c r="T50" s="46"/>
      <c r="U50" s="36"/>
      <c r="V50" s="35"/>
      <c r="W50" s="38" t="str">
        <f t="shared" si="0"/>
        <v/>
      </c>
    </row>
    <row r="51" spans="1:23" x14ac:dyDescent="0.35">
      <c r="A51" s="46"/>
      <c r="B51" s="36"/>
      <c r="C51" s="35"/>
      <c r="D51" s="24"/>
      <c r="E51" s="35"/>
      <c r="F51" s="35"/>
      <c r="G51" s="36"/>
      <c r="H51" s="36"/>
      <c r="I51" s="36"/>
      <c r="J51" s="36"/>
      <c r="K51" s="36"/>
      <c r="L51" s="36"/>
      <c r="M51" s="36"/>
      <c r="N51" s="35"/>
      <c r="O51" s="35"/>
      <c r="P51" s="35"/>
      <c r="Q51" s="36"/>
      <c r="R51" s="36"/>
      <c r="S51" s="36"/>
      <c r="T51" s="46"/>
      <c r="U51" s="36"/>
      <c r="V51" s="35"/>
      <c r="W51" s="38" t="str">
        <f t="shared" si="0"/>
        <v/>
      </c>
    </row>
    <row r="52" spans="1:23" x14ac:dyDescent="0.35">
      <c r="A52" s="46"/>
      <c r="B52" s="36"/>
      <c r="C52" s="35"/>
      <c r="D52" s="24"/>
      <c r="E52" s="35"/>
      <c r="F52" s="35"/>
      <c r="G52" s="36"/>
      <c r="H52" s="36"/>
      <c r="I52" s="36"/>
      <c r="J52" s="36"/>
      <c r="K52" s="36"/>
      <c r="L52" s="36"/>
      <c r="M52" s="36"/>
      <c r="N52" s="35"/>
      <c r="O52" s="35"/>
      <c r="P52" s="35"/>
      <c r="Q52" s="36"/>
      <c r="R52" s="36"/>
      <c r="S52" s="36"/>
      <c r="T52" s="46"/>
      <c r="U52" s="36"/>
      <c r="V52" s="35"/>
      <c r="W52" s="38" t="str">
        <f t="shared" si="0"/>
        <v/>
      </c>
    </row>
    <row r="53" spans="1:23" x14ac:dyDescent="0.35">
      <c r="A53" s="46"/>
      <c r="B53" s="36"/>
      <c r="C53" s="35"/>
      <c r="D53" s="24"/>
      <c r="E53" s="35"/>
      <c r="F53" s="35"/>
      <c r="G53" s="36"/>
      <c r="H53" s="36"/>
      <c r="I53" s="36"/>
      <c r="J53" s="36"/>
      <c r="K53" s="36"/>
      <c r="L53" s="36"/>
      <c r="M53" s="36"/>
      <c r="N53" s="35"/>
      <c r="O53" s="35"/>
      <c r="P53" s="35"/>
      <c r="Q53" s="36"/>
      <c r="R53" s="36"/>
      <c r="S53" s="36"/>
      <c r="T53" s="46"/>
      <c r="U53" s="36"/>
      <c r="V53" s="35"/>
      <c r="W53" s="38" t="str">
        <f t="shared" si="0"/>
        <v/>
      </c>
    </row>
    <row r="54" spans="1:23" x14ac:dyDescent="0.35">
      <c r="A54" s="46"/>
      <c r="B54" s="36"/>
      <c r="C54" s="35"/>
      <c r="D54" s="24"/>
      <c r="E54" s="35"/>
      <c r="F54" s="35"/>
      <c r="G54" s="36"/>
      <c r="H54" s="36"/>
      <c r="I54" s="36"/>
      <c r="J54" s="36"/>
      <c r="K54" s="36"/>
      <c r="L54" s="36"/>
      <c r="M54" s="36"/>
      <c r="N54" s="35"/>
      <c r="O54" s="35"/>
      <c r="P54" s="35"/>
      <c r="Q54" s="36"/>
      <c r="R54" s="36"/>
      <c r="S54" s="36"/>
      <c r="T54" s="46"/>
      <c r="U54" s="36"/>
      <c r="V54" s="35"/>
      <c r="W54" s="38" t="str">
        <f t="shared" si="0"/>
        <v/>
      </c>
    </row>
    <row r="55" spans="1:23" x14ac:dyDescent="0.35">
      <c r="A55" s="46"/>
      <c r="B55" s="36"/>
      <c r="C55" s="35"/>
      <c r="D55" s="24"/>
      <c r="E55" s="35"/>
      <c r="F55" s="35"/>
      <c r="G55" s="36"/>
      <c r="H55" s="36"/>
      <c r="I55" s="36"/>
      <c r="J55" s="36"/>
      <c r="K55" s="36"/>
      <c r="L55" s="36"/>
      <c r="M55" s="36"/>
      <c r="N55" s="35"/>
      <c r="O55" s="35"/>
      <c r="P55" s="35"/>
      <c r="Q55" s="36"/>
      <c r="R55" s="36"/>
      <c r="S55" s="36"/>
      <c r="T55" s="46"/>
      <c r="U55" s="36"/>
      <c r="V55" s="35"/>
      <c r="W55" s="38" t="str">
        <f t="shared" si="0"/>
        <v/>
      </c>
    </row>
    <row r="56" spans="1:23" x14ac:dyDescent="0.35">
      <c r="A56" s="46"/>
      <c r="B56" s="36"/>
      <c r="C56" s="35"/>
      <c r="D56" s="24"/>
      <c r="E56" s="35"/>
      <c r="F56" s="35"/>
      <c r="G56" s="36"/>
      <c r="H56" s="36"/>
      <c r="I56" s="36"/>
      <c r="J56" s="36"/>
      <c r="K56" s="36"/>
      <c r="L56" s="36"/>
      <c r="M56" s="36"/>
      <c r="N56" s="35"/>
      <c r="O56" s="35"/>
      <c r="P56" s="35"/>
      <c r="Q56" s="36"/>
      <c r="R56" s="36"/>
      <c r="S56" s="36"/>
      <c r="T56" s="46"/>
      <c r="U56" s="36"/>
      <c r="V56" s="35"/>
      <c r="W56" s="38" t="str">
        <f t="shared" si="0"/>
        <v/>
      </c>
    </row>
    <row r="57" spans="1:23" x14ac:dyDescent="0.35">
      <c r="A57" s="46"/>
      <c r="B57" s="36"/>
      <c r="C57" s="35"/>
      <c r="D57" s="24"/>
      <c r="E57" s="35"/>
      <c r="F57" s="35"/>
      <c r="G57" s="36"/>
      <c r="H57" s="36"/>
      <c r="I57" s="36"/>
      <c r="J57" s="36"/>
      <c r="K57" s="36"/>
      <c r="L57" s="36"/>
      <c r="M57" s="36"/>
      <c r="N57" s="35"/>
      <c r="O57" s="35"/>
      <c r="P57" s="35"/>
      <c r="Q57" s="36"/>
      <c r="R57" s="36"/>
      <c r="S57" s="36"/>
      <c r="T57" s="46"/>
      <c r="U57" s="36"/>
      <c r="V57" s="35"/>
      <c r="W57" s="38" t="str">
        <f t="shared" si="0"/>
        <v/>
      </c>
    </row>
    <row r="58" spans="1:23" x14ac:dyDescent="0.35">
      <c r="A58" s="46"/>
      <c r="B58" s="36"/>
      <c r="C58" s="35"/>
      <c r="D58" s="24"/>
      <c r="E58" s="35"/>
      <c r="F58" s="35"/>
      <c r="G58" s="36"/>
      <c r="H58" s="36"/>
      <c r="I58" s="36"/>
      <c r="J58" s="36"/>
      <c r="K58" s="36"/>
      <c r="L58" s="36"/>
      <c r="M58" s="36"/>
      <c r="N58" s="35"/>
      <c r="O58" s="35"/>
      <c r="P58" s="35"/>
      <c r="Q58" s="36"/>
      <c r="R58" s="36"/>
      <c r="S58" s="36"/>
      <c r="T58" s="46"/>
      <c r="U58" s="36"/>
      <c r="V58" s="35"/>
      <c r="W58" s="38" t="str">
        <f t="shared" si="0"/>
        <v/>
      </c>
    </row>
    <row r="59" spans="1:23" x14ac:dyDescent="0.35">
      <c r="A59" s="46"/>
      <c r="B59" s="36"/>
      <c r="C59" s="35"/>
      <c r="D59" s="24"/>
      <c r="E59" s="35"/>
      <c r="F59" s="35"/>
      <c r="G59" s="36"/>
      <c r="H59" s="36"/>
      <c r="I59" s="36"/>
      <c r="J59" s="36"/>
      <c r="K59" s="36"/>
      <c r="L59" s="36"/>
      <c r="M59" s="36"/>
      <c r="N59" s="35"/>
      <c r="O59" s="35"/>
      <c r="P59" s="35"/>
      <c r="Q59" s="36"/>
      <c r="R59" s="36"/>
      <c r="S59" s="36"/>
      <c r="T59" s="46"/>
      <c r="U59" s="36"/>
      <c r="V59" s="35"/>
      <c r="W59" s="38" t="str">
        <f t="shared" si="0"/>
        <v/>
      </c>
    </row>
    <row r="60" spans="1:23" x14ac:dyDescent="0.35">
      <c r="A60" s="46"/>
      <c r="B60" s="36"/>
      <c r="C60" s="35"/>
      <c r="D60" s="24"/>
      <c r="E60" s="35"/>
      <c r="F60" s="35"/>
      <c r="G60" s="36"/>
      <c r="H60" s="36"/>
      <c r="I60" s="36"/>
      <c r="J60" s="36"/>
      <c r="K60" s="36"/>
      <c r="L60" s="36"/>
      <c r="M60" s="36"/>
      <c r="N60" s="35"/>
      <c r="O60" s="35"/>
      <c r="P60" s="35"/>
      <c r="Q60" s="36"/>
      <c r="R60" s="36"/>
      <c r="S60" s="36"/>
      <c r="T60" s="46"/>
      <c r="U60" s="36"/>
      <c r="V60" s="35"/>
      <c r="W60" s="38" t="str">
        <f t="shared" si="0"/>
        <v/>
      </c>
    </row>
    <row r="61" spans="1:23" x14ac:dyDescent="0.35">
      <c r="A61" s="46"/>
      <c r="B61" s="36"/>
      <c r="C61" s="35"/>
      <c r="D61" s="24"/>
      <c r="E61" s="35"/>
      <c r="F61" s="35"/>
      <c r="G61" s="36"/>
      <c r="H61" s="36"/>
      <c r="I61" s="36"/>
      <c r="J61" s="36"/>
      <c r="K61" s="36"/>
      <c r="L61" s="36"/>
      <c r="M61" s="36"/>
      <c r="N61" s="35"/>
      <c r="O61" s="35"/>
      <c r="P61" s="35"/>
      <c r="Q61" s="36"/>
      <c r="R61" s="36"/>
      <c r="S61" s="36"/>
      <c r="T61" s="46"/>
      <c r="U61" s="36"/>
      <c r="V61" s="35"/>
      <c r="W61" s="38" t="str">
        <f t="shared" si="0"/>
        <v/>
      </c>
    </row>
    <row r="62" spans="1:23" x14ac:dyDescent="0.35">
      <c r="A62" s="46"/>
      <c r="B62" s="36"/>
      <c r="C62" s="35"/>
      <c r="D62" s="24"/>
      <c r="E62" s="35"/>
      <c r="F62" s="35"/>
      <c r="G62" s="36"/>
      <c r="H62" s="36"/>
      <c r="I62" s="36"/>
      <c r="J62" s="36"/>
      <c r="K62" s="36"/>
      <c r="L62" s="36"/>
      <c r="M62" s="36"/>
      <c r="N62" s="35"/>
      <c r="O62" s="35"/>
      <c r="P62" s="35"/>
      <c r="Q62" s="36"/>
      <c r="R62" s="36"/>
      <c r="S62" s="36"/>
      <c r="T62" s="46"/>
      <c r="U62" s="36"/>
      <c r="V62" s="35"/>
      <c r="W62" s="38" t="str">
        <f t="shared" si="0"/>
        <v/>
      </c>
    </row>
    <row r="63" spans="1:23" x14ac:dyDescent="0.35">
      <c r="A63" s="46"/>
      <c r="B63" s="36"/>
      <c r="C63" s="35"/>
      <c r="D63" s="24"/>
      <c r="E63" s="35"/>
      <c r="F63" s="35"/>
      <c r="G63" s="36"/>
      <c r="H63" s="36"/>
      <c r="I63" s="36"/>
      <c r="J63" s="36"/>
      <c r="K63" s="36"/>
      <c r="L63" s="36"/>
      <c r="M63" s="36"/>
      <c r="N63" s="35"/>
      <c r="O63" s="35"/>
      <c r="P63" s="35"/>
      <c r="Q63" s="36"/>
      <c r="R63" s="36"/>
      <c r="S63" s="36"/>
      <c r="T63" s="46"/>
      <c r="U63" s="36"/>
      <c r="V63" s="35"/>
      <c r="W63" s="38" t="str">
        <f t="shared" si="0"/>
        <v/>
      </c>
    </row>
    <row r="64" spans="1:23" x14ac:dyDescent="0.35">
      <c r="A64" s="46"/>
      <c r="B64" s="36"/>
      <c r="C64" s="35"/>
      <c r="D64" s="24"/>
      <c r="E64" s="35"/>
      <c r="F64" s="35"/>
      <c r="G64" s="36"/>
      <c r="H64" s="36"/>
      <c r="I64" s="36"/>
      <c r="J64" s="36"/>
      <c r="K64" s="36"/>
      <c r="L64" s="36"/>
      <c r="M64" s="36"/>
      <c r="N64" s="35"/>
      <c r="O64" s="35"/>
      <c r="P64" s="35"/>
      <c r="Q64" s="36"/>
      <c r="R64" s="36"/>
      <c r="S64" s="36"/>
      <c r="T64" s="46"/>
      <c r="U64" s="36"/>
      <c r="V64" s="35"/>
      <c r="W64" s="38" t="str">
        <f t="shared" si="0"/>
        <v/>
      </c>
    </row>
    <row r="65" spans="1:23" x14ac:dyDescent="0.35">
      <c r="A65" s="46"/>
      <c r="B65" s="36"/>
      <c r="C65" s="35"/>
      <c r="D65" s="24"/>
      <c r="E65" s="35"/>
      <c r="F65" s="35"/>
      <c r="G65" s="36"/>
      <c r="H65" s="36"/>
      <c r="I65" s="36"/>
      <c r="J65" s="36"/>
      <c r="K65" s="36"/>
      <c r="L65" s="36"/>
      <c r="M65" s="36"/>
      <c r="N65" s="35"/>
      <c r="O65" s="35"/>
      <c r="P65" s="35"/>
      <c r="Q65" s="36"/>
      <c r="R65" s="36"/>
      <c r="S65" s="36"/>
      <c r="T65" s="46"/>
      <c r="U65" s="36"/>
      <c r="V65" s="35"/>
      <c r="W65" s="38" t="str">
        <f t="shared" si="0"/>
        <v/>
      </c>
    </row>
    <row r="66" spans="1:23" x14ac:dyDescent="0.35">
      <c r="A66" s="46"/>
      <c r="B66" s="36"/>
      <c r="C66" s="35"/>
      <c r="D66" s="24"/>
      <c r="E66" s="35"/>
      <c r="F66" s="35"/>
      <c r="G66" s="36"/>
      <c r="H66" s="36"/>
      <c r="I66" s="36"/>
      <c r="J66" s="36"/>
      <c r="K66" s="36"/>
      <c r="L66" s="36"/>
      <c r="M66" s="36"/>
      <c r="N66" s="35"/>
      <c r="O66" s="35"/>
      <c r="P66" s="35"/>
      <c r="Q66" s="36"/>
      <c r="R66" s="36"/>
      <c r="S66" s="36"/>
      <c r="T66" s="46"/>
      <c r="U66" s="36"/>
      <c r="V66" s="35"/>
      <c r="W66" s="38" t="str">
        <f t="shared" si="0"/>
        <v/>
      </c>
    </row>
    <row r="67" spans="1:23" x14ac:dyDescent="0.35">
      <c r="A67" s="46"/>
      <c r="B67" s="36"/>
      <c r="C67" s="35"/>
      <c r="D67" s="24"/>
      <c r="E67" s="35"/>
      <c r="F67" s="35"/>
      <c r="G67" s="36"/>
      <c r="H67" s="36"/>
      <c r="I67" s="36"/>
      <c r="J67" s="36"/>
      <c r="K67" s="36"/>
      <c r="L67" s="36"/>
      <c r="M67" s="36"/>
      <c r="N67" s="35"/>
      <c r="O67" s="35"/>
      <c r="P67" s="35"/>
      <c r="Q67" s="36"/>
      <c r="R67" s="36"/>
      <c r="S67" s="36"/>
      <c r="T67" s="46"/>
      <c r="U67" s="36"/>
      <c r="V67" s="35"/>
      <c r="W67" s="38" t="str">
        <f t="shared" si="0"/>
        <v/>
      </c>
    </row>
    <row r="68" spans="1:23" x14ac:dyDescent="0.35">
      <c r="A68" s="46"/>
      <c r="B68" s="36"/>
      <c r="C68" s="35"/>
      <c r="D68" s="24"/>
      <c r="E68" s="35"/>
      <c r="F68" s="35"/>
      <c r="G68" s="36"/>
      <c r="H68" s="36"/>
      <c r="I68" s="36"/>
      <c r="J68" s="36"/>
      <c r="K68" s="36"/>
      <c r="L68" s="36"/>
      <c r="M68" s="36"/>
      <c r="N68" s="35"/>
      <c r="O68" s="35"/>
      <c r="P68" s="35"/>
      <c r="Q68" s="36"/>
      <c r="R68" s="36"/>
      <c r="S68" s="36"/>
      <c r="T68" s="46"/>
      <c r="U68" s="36"/>
      <c r="V68" s="35"/>
      <c r="W68" s="38" t="str">
        <f t="shared" si="0"/>
        <v/>
      </c>
    </row>
    <row r="69" spans="1:23" x14ac:dyDescent="0.35">
      <c r="A69" s="46"/>
      <c r="B69" s="36"/>
      <c r="C69" s="35"/>
      <c r="D69" s="24"/>
      <c r="E69" s="35"/>
      <c r="F69" s="35"/>
      <c r="G69" s="36"/>
      <c r="H69" s="36"/>
      <c r="I69" s="36"/>
      <c r="J69" s="36"/>
      <c r="K69" s="36"/>
      <c r="L69" s="36"/>
      <c r="M69" s="36"/>
      <c r="N69" s="35"/>
      <c r="O69" s="35"/>
      <c r="P69" s="35"/>
      <c r="Q69" s="36"/>
      <c r="R69" s="36"/>
      <c r="S69" s="36"/>
      <c r="T69" s="46"/>
      <c r="U69" s="36"/>
      <c r="V69" s="35"/>
      <c r="W69" s="38" t="str">
        <f t="shared" si="0"/>
        <v/>
      </c>
    </row>
    <row r="70" spans="1:23" x14ac:dyDescent="0.35">
      <c r="A70" s="46"/>
      <c r="B70" s="36"/>
      <c r="C70" s="35"/>
      <c r="D70" s="24"/>
      <c r="E70" s="35"/>
      <c r="F70" s="35"/>
      <c r="G70" s="36"/>
      <c r="H70" s="36"/>
      <c r="I70" s="36"/>
      <c r="J70" s="36"/>
      <c r="K70" s="36"/>
      <c r="L70" s="36"/>
      <c r="M70" s="36"/>
      <c r="N70" s="35"/>
      <c r="O70" s="35"/>
      <c r="P70" s="35"/>
      <c r="Q70" s="36"/>
      <c r="R70" s="36"/>
      <c r="S70" s="36"/>
      <c r="T70" s="46"/>
      <c r="U70" s="36"/>
      <c r="V70" s="35"/>
      <c r="W70" s="38" t="str">
        <f t="shared" ref="W70:W133" si="1">IF(OR(A70="",C70=""),"",INT(A70)&amp;"|"&amp;C70)</f>
        <v/>
      </c>
    </row>
    <row r="71" spans="1:23" x14ac:dyDescent="0.35">
      <c r="A71" s="46"/>
      <c r="B71" s="36"/>
      <c r="C71" s="35"/>
      <c r="D71" s="24"/>
      <c r="E71" s="35"/>
      <c r="F71" s="35"/>
      <c r="G71" s="36"/>
      <c r="H71" s="36"/>
      <c r="I71" s="36"/>
      <c r="J71" s="36"/>
      <c r="K71" s="36"/>
      <c r="L71" s="36"/>
      <c r="M71" s="36"/>
      <c r="N71" s="35"/>
      <c r="O71" s="35"/>
      <c r="P71" s="35"/>
      <c r="Q71" s="36"/>
      <c r="R71" s="36"/>
      <c r="S71" s="36"/>
      <c r="T71" s="46"/>
      <c r="U71" s="36"/>
      <c r="V71" s="35"/>
      <c r="W71" s="38" t="str">
        <f t="shared" si="1"/>
        <v/>
      </c>
    </row>
    <row r="72" spans="1:23" x14ac:dyDescent="0.35">
      <c r="A72" s="46"/>
      <c r="B72" s="36"/>
      <c r="C72" s="35"/>
      <c r="D72" s="24"/>
      <c r="E72" s="35"/>
      <c r="F72" s="35"/>
      <c r="G72" s="36"/>
      <c r="H72" s="36"/>
      <c r="I72" s="36"/>
      <c r="J72" s="36"/>
      <c r="K72" s="36"/>
      <c r="L72" s="36"/>
      <c r="M72" s="36"/>
      <c r="N72" s="35"/>
      <c r="O72" s="35"/>
      <c r="P72" s="35"/>
      <c r="Q72" s="36"/>
      <c r="R72" s="36"/>
      <c r="S72" s="36"/>
      <c r="T72" s="46"/>
      <c r="U72" s="36"/>
      <c r="V72" s="35"/>
      <c r="W72" s="38" t="str">
        <f t="shared" si="1"/>
        <v/>
      </c>
    </row>
    <row r="73" spans="1:23" x14ac:dyDescent="0.35">
      <c r="A73" s="46"/>
      <c r="B73" s="36"/>
      <c r="C73" s="35"/>
      <c r="D73" s="24"/>
      <c r="E73" s="35"/>
      <c r="F73" s="35"/>
      <c r="G73" s="36"/>
      <c r="H73" s="36"/>
      <c r="I73" s="36"/>
      <c r="J73" s="36"/>
      <c r="K73" s="36"/>
      <c r="L73" s="36"/>
      <c r="M73" s="36"/>
      <c r="N73" s="35"/>
      <c r="O73" s="35"/>
      <c r="P73" s="35"/>
      <c r="Q73" s="36"/>
      <c r="R73" s="36"/>
      <c r="S73" s="36"/>
      <c r="T73" s="46"/>
      <c r="U73" s="36"/>
      <c r="V73" s="35"/>
      <c r="W73" s="38" t="str">
        <f t="shared" si="1"/>
        <v/>
      </c>
    </row>
    <row r="74" spans="1:23" x14ac:dyDescent="0.35">
      <c r="A74" s="46"/>
      <c r="B74" s="36"/>
      <c r="C74" s="35"/>
      <c r="D74" s="24"/>
      <c r="E74" s="35"/>
      <c r="F74" s="35"/>
      <c r="G74" s="36"/>
      <c r="H74" s="36"/>
      <c r="I74" s="36"/>
      <c r="J74" s="36"/>
      <c r="K74" s="36"/>
      <c r="L74" s="36"/>
      <c r="M74" s="36"/>
      <c r="N74" s="35"/>
      <c r="O74" s="35"/>
      <c r="P74" s="35"/>
      <c r="Q74" s="36"/>
      <c r="R74" s="36"/>
      <c r="S74" s="36"/>
      <c r="T74" s="46"/>
      <c r="U74" s="36"/>
      <c r="V74" s="35"/>
      <c r="W74" s="38" t="str">
        <f t="shared" si="1"/>
        <v/>
      </c>
    </row>
    <row r="75" spans="1:23" x14ac:dyDescent="0.35">
      <c r="A75" s="46"/>
      <c r="B75" s="36"/>
      <c r="C75" s="35"/>
      <c r="D75" s="24"/>
      <c r="E75" s="35"/>
      <c r="F75" s="35"/>
      <c r="G75" s="36"/>
      <c r="H75" s="36"/>
      <c r="I75" s="36"/>
      <c r="J75" s="36"/>
      <c r="K75" s="36"/>
      <c r="L75" s="36"/>
      <c r="M75" s="36"/>
      <c r="N75" s="35"/>
      <c r="O75" s="35"/>
      <c r="P75" s="35"/>
      <c r="Q75" s="36"/>
      <c r="R75" s="36"/>
      <c r="S75" s="36"/>
      <c r="T75" s="46"/>
      <c r="U75" s="36"/>
      <c r="V75" s="35"/>
      <c r="W75" s="38" t="str">
        <f t="shared" si="1"/>
        <v/>
      </c>
    </row>
    <row r="76" spans="1:23" x14ac:dyDescent="0.35">
      <c r="A76" s="46"/>
      <c r="B76" s="36"/>
      <c r="C76" s="35"/>
      <c r="D76" s="24"/>
      <c r="E76" s="35"/>
      <c r="F76" s="35"/>
      <c r="G76" s="36"/>
      <c r="H76" s="36"/>
      <c r="I76" s="36"/>
      <c r="J76" s="36"/>
      <c r="K76" s="36"/>
      <c r="L76" s="36"/>
      <c r="M76" s="36"/>
      <c r="N76" s="35"/>
      <c r="O76" s="35"/>
      <c r="P76" s="35"/>
      <c r="Q76" s="36"/>
      <c r="R76" s="36"/>
      <c r="S76" s="36"/>
      <c r="T76" s="46"/>
      <c r="U76" s="36"/>
      <c r="V76" s="35"/>
      <c r="W76" s="38" t="str">
        <f t="shared" si="1"/>
        <v/>
      </c>
    </row>
    <row r="77" spans="1:23" x14ac:dyDescent="0.35">
      <c r="A77" s="46"/>
      <c r="B77" s="36"/>
      <c r="C77" s="35"/>
      <c r="D77" s="24"/>
      <c r="E77" s="35"/>
      <c r="F77" s="35"/>
      <c r="G77" s="36"/>
      <c r="H77" s="36"/>
      <c r="I77" s="36"/>
      <c r="J77" s="36"/>
      <c r="K77" s="36"/>
      <c r="L77" s="36"/>
      <c r="M77" s="36"/>
      <c r="N77" s="35"/>
      <c r="O77" s="35"/>
      <c r="P77" s="35"/>
      <c r="Q77" s="36"/>
      <c r="R77" s="36"/>
      <c r="S77" s="36"/>
      <c r="T77" s="46"/>
      <c r="U77" s="36"/>
      <c r="V77" s="35"/>
      <c r="W77" s="38" t="str">
        <f t="shared" si="1"/>
        <v/>
      </c>
    </row>
    <row r="78" spans="1:23" x14ac:dyDescent="0.35">
      <c r="A78" s="46"/>
      <c r="B78" s="36"/>
      <c r="C78" s="35"/>
      <c r="D78" s="24"/>
      <c r="E78" s="35"/>
      <c r="F78" s="35"/>
      <c r="G78" s="36"/>
      <c r="H78" s="36"/>
      <c r="I78" s="36"/>
      <c r="J78" s="36"/>
      <c r="K78" s="36"/>
      <c r="L78" s="36"/>
      <c r="M78" s="36"/>
      <c r="N78" s="35"/>
      <c r="O78" s="35"/>
      <c r="P78" s="35"/>
      <c r="Q78" s="36"/>
      <c r="R78" s="36"/>
      <c r="S78" s="36"/>
      <c r="T78" s="46"/>
      <c r="U78" s="36"/>
      <c r="V78" s="35"/>
      <c r="W78" s="38" t="str">
        <f t="shared" si="1"/>
        <v/>
      </c>
    </row>
    <row r="79" spans="1:23" x14ac:dyDescent="0.35">
      <c r="A79" s="46"/>
      <c r="B79" s="36"/>
      <c r="C79" s="35"/>
      <c r="D79" s="24"/>
      <c r="E79" s="35"/>
      <c r="F79" s="35"/>
      <c r="G79" s="36"/>
      <c r="H79" s="36"/>
      <c r="I79" s="36"/>
      <c r="J79" s="36"/>
      <c r="K79" s="36"/>
      <c r="L79" s="36"/>
      <c r="M79" s="36"/>
      <c r="N79" s="35"/>
      <c r="O79" s="35"/>
      <c r="P79" s="35"/>
      <c r="Q79" s="36"/>
      <c r="R79" s="36"/>
      <c r="S79" s="36"/>
      <c r="T79" s="46"/>
      <c r="U79" s="36"/>
      <c r="V79" s="35"/>
      <c r="W79" s="38" t="str">
        <f t="shared" si="1"/>
        <v/>
      </c>
    </row>
    <row r="80" spans="1:23" x14ac:dyDescent="0.35">
      <c r="A80" s="46"/>
      <c r="B80" s="36"/>
      <c r="C80" s="35"/>
      <c r="D80" s="24"/>
      <c r="E80" s="35"/>
      <c r="F80" s="35"/>
      <c r="G80" s="36"/>
      <c r="H80" s="36"/>
      <c r="I80" s="36"/>
      <c r="J80" s="36"/>
      <c r="K80" s="36"/>
      <c r="L80" s="36"/>
      <c r="M80" s="36"/>
      <c r="N80" s="35"/>
      <c r="O80" s="35"/>
      <c r="P80" s="35"/>
      <c r="Q80" s="36"/>
      <c r="R80" s="36"/>
      <c r="S80" s="36"/>
      <c r="T80" s="46"/>
      <c r="U80" s="36"/>
      <c r="V80" s="35"/>
      <c r="W80" s="38" t="str">
        <f t="shared" si="1"/>
        <v/>
      </c>
    </row>
    <row r="81" spans="1:23" x14ac:dyDescent="0.35">
      <c r="A81" s="46"/>
      <c r="B81" s="36"/>
      <c r="C81" s="35"/>
      <c r="D81" s="24"/>
      <c r="E81" s="35"/>
      <c r="F81" s="35"/>
      <c r="G81" s="36"/>
      <c r="H81" s="36"/>
      <c r="I81" s="36"/>
      <c r="J81" s="36"/>
      <c r="K81" s="36"/>
      <c r="L81" s="36"/>
      <c r="M81" s="36"/>
      <c r="N81" s="35"/>
      <c r="O81" s="35"/>
      <c r="P81" s="35"/>
      <c r="Q81" s="36"/>
      <c r="R81" s="36"/>
      <c r="S81" s="36"/>
      <c r="T81" s="46"/>
      <c r="U81" s="36"/>
      <c r="V81" s="35"/>
      <c r="W81" s="38" t="str">
        <f t="shared" si="1"/>
        <v/>
      </c>
    </row>
    <row r="82" spans="1:23" x14ac:dyDescent="0.35">
      <c r="A82" s="46"/>
      <c r="B82" s="36"/>
      <c r="C82" s="35"/>
      <c r="D82" s="24"/>
      <c r="E82" s="35"/>
      <c r="F82" s="35"/>
      <c r="G82" s="36"/>
      <c r="H82" s="36"/>
      <c r="I82" s="36"/>
      <c r="J82" s="36"/>
      <c r="K82" s="36"/>
      <c r="L82" s="36"/>
      <c r="M82" s="36"/>
      <c r="N82" s="35"/>
      <c r="O82" s="35"/>
      <c r="P82" s="35"/>
      <c r="Q82" s="36"/>
      <c r="R82" s="36"/>
      <c r="S82" s="36"/>
      <c r="T82" s="46"/>
      <c r="U82" s="36"/>
      <c r="V82" s="35"/>
      <c r="W82" s="38" t="str">
        <f t="shared" si="1"/>
        <v/>
      </c>
    </row>
    <row r="83" spans="1:23" x14ac:dyDescent="0.35">
      <c r="A83" s="46"/>
      <c r="B83" s="36"/>
      <c r="C83" s="35"/>
      <c r="D83" s="24"/>
      <c r="E83" s="35"/>
      <c r="F83" s="35"/>
      <c r="G83" s="36"/>
      <c r="H83" s="36"/>
      <c r="I83" s="36"/>
      <c r="J83" s="36"/>
      <c r="K83" s="36"/>
      <c r="L83" s="36"/>
      <c r="M83" s="36"/>
      <c r="N83" s="35"/>
      <c r="O83" s="35"/>
      <c r="P83" s="35"/>
      <c r="Q83" s="36"/>
      <c r="R83" s="36"/>
      <c r="S83" s="36"/>
      <c r="T83" s="46"/>
      <c r="U83" s="36"/>
      <c r="V83" s="35"/>
      <c r="W83" s="38" t="str">
        <f t="shared" si="1"/>
        <v/>
      </c>
    </row>
    <row r="84" spans="1:23" x14ac:dyDescent="0.35">
      <c r="A84" s="46"/>
      <c r="B84" s="36"/>
      <c r="C84" s="35"/>
      <c r="D84" s="24"/>
      <c r="E84" s="35"/>
      <c r="F84" s="35"/>
      <c r="G84" s="36"/>
      <c r="H84" s="36"/>
      <c r="I84" s="36"/>
      <c r="J84" s="36"/>
      <c r="K84" s="36"/>
      <c r="L84" s="36"/>
      <c r="M84" s="36"/>
      <c r="N84" s="35"/>
      <c r="O84" s="35"/>
      <c r="P84" s="35"/>
      <c r="Q84" s="36"/>
      <c r="R84" s="36"/>
      <c r="S84" s="36"/>
      <c r="T84" s="46"/>
      <c r="U84" s="36"/>
      <c r="V84" s="35"/>
      <c r="W84" s="38" t="str">
        <f t="shared" si="1"/>
        <v/>
      </c>
    </row>
    <row r="85" spans="1:23" x14ac:dyDescent="0.35">
      <c r="A85" s="46"/>
      <c r="B85" s="36"/>
      <c r="C85" s="35"/>
      <c r="D85" s="24"/>
      <c r="E85" s="35"/>
      <c r="F85" s="35"/>
      <c r="G85" s="36"/>
      <c r="H85" s="36"/>
      <c r="I85" s="36"/>
      <c r="J85" s="36"/>
      <c r="K85" s="36"/>
      <c r="L85" s="36"/>
      <c r="M85" s="36"/>
      <c r="N85" s="35"/>
      <c r="O85" s="35"/>
      <c r="P85" s="35"/>
      <c r="Q85" s="36"/>
      <c r="R85" s="36"/>
      <c r="S85" s="36"/>
      <c r="T85" s="46"/>
      <c r="U85" s="36"/>
      <c r="V85" s="35"/>
      <c r="W85" s="38" t="str">
        <f t="shared" si="1"/>
        <v/>
      </c>
    </row>
    <row r="86" spans="1:23" x14ac:dyDescent="0.35">
      <c r="A86" s="46"/>
      <c r="B86" s="36"/>
      <c r="C86" s="35"/>
      <c r="D86" s="24"/>
      <c r="E86" s="35"/>
      <c r="F86" s="35"/>
      <c r="G86" s="36"/>
      <c r="H86" s="36"/>
      <c r="I86" s="36"/>
      <c r="J86" s="36"/>
      <c r="K86" s="36"/>
      <c r="L86" s="36"/>
      <c r="M86" s="36"/>
      <c r="N86" s="35"/>
      <c r="O86" s="35"/>
      <c r="P86" s="35"/>
      <c r="Q86" s="36"/>
      <c r="R86" s="36"/>
      <c r="S86" s="36"/>
      <c r="T86" s="46"/>
      <c r="U86" s="36"/>
      <c r="V86" s="35"/>
      <c r="W86" s="38" t="str">
        <f t="shared" si="1"/>
        <v/>
      </c>
    </row>
    <row r="87" spans="1:23" x14ac:dyDescent="0.35">
      <c r="A87" s="46"/>
      <c r="B87" s="36"/>
      <c r="C87" s="35"/>
      <c r="D87" s="24"/>
      <c r="E87" s="35"/>
      <c r="F87" s="35"/>
      <c r="G87" s="36"/>
      <c r="H87" s="36"/>
      <c r="I87" s="36"/>
      <c r="J87" s="36"/>
      <c r="K87" s="36"/>
      <c r="L87" s="36"/>
      <c r="M87" s="36"/>
      <c r="N87" s="35"/>
      <c r="O87" s="35"/>
      <c r="P87" s="35"/>
      <c r="Q87" s="36"/>
      <c r="R87" s="36"/>
      <c r="S87" s="36"/>
      <c r="T87" s="46"/>
      <c r="U87" s="36"/>
      <c r="V87" s="35"/>
      <c r="W87" s="38" t="str">
        <f t="shared" si="1"/>
        <v/>
      </c>
    </row>
    <row r="88" spans="1:23" x14ac:dyDescent="0.35">
      <c r="A88" s="46"/>
      <c r="B88" s="36"/>
      <c r="C88" s="35"/>
      <c r="D88" s="24"/>
      <c r="E88" s="35"/>
      <c r="F88" s="35"/>
      <c r="G88" s="36"/>
      <c r="H88" s="36"/>
      <c r="I88" s="36"/>
      <c r="J88" s="36"/>
      <c r="K88" s="36"/>
      <c r="L88" s="36"/>
      <c r="M88" s="36"/>
      <c r="N88" s="35"/>
      <c r="O88" s="35"/>
      <c r="P88" s="35"/>
      <c r="Q88" s="36"/>
      <c r="R88" s="36"/>
      <c r="S88" s="36"/>
      <c r="T88" s="46"/>
      <c r="U88" s="36"/>
      <c r="V88" s="35"/>
      <c r="W88" s="38" t="str">
        <f t="shared" si="1"/>
        <v/>
      </c>
    </row>
    <row r="89" spans="1:23" x14ac:dyDescent="0.35">
      <c r="A89" s="46"/>
      <c r="B89" s="36"/>
      <c r="C89" s="35"/>
      <c r="D89" s="24"/>
      <c r="E89" s="35"/>
      <c r="F89" s="35"/>
      <c r="G89" s="36"/>
      <c r="H89" s="36"/>
      <c r="I89" s="36"/>
      <c r="J89" s="36"/>
      <c r="K89" s="36"/>
      <c r="L89" s="36"/>
      <c r="M89" s="36"/>
      <c r="N89" s="35"/>
      <c r="O89" s="35"/>
      <c r="P89" s="35"/>
      <c r="Q89" s="36"/>
      <c r="R89" s="36"/>
      <c r="S89" s="36"/>
      <c r="T89" s="46"/>
      <c r="U89" s="36"/>
      <c r="V89" s="35"/>
      <c r="W89" s="38" t="str">
        <f t="shared" si="1"/>
        <v/>
      </c>
    </row>
    <row r="90" spans="1:23" x14ac:dyDescent="0.35">
      <c r="A90" s="46"/>
      <c r="B90" s="36"/>
      <c r="C90" s="35"/>
      <c r="D90" s="24"/>
      <c r="E90" s="35"/>
      <c r="F90" s="35"/>
      <c r="G90" s="36"/>
      <c r="H90" s="36"/>
      <c r="I90" s="36"/>
      <c r="J90" s="36"/>
      <c r="K90" s="36"/>
      <c r="L90" s="36"/>
      <c r="M90" s="36"/>
      <c r="N90" s="35"/>
      <c r="O90" s="35"/>
      <c r="P90" s="35"/>
      <c r="Q90" s="36"/>
      <c r="R90" s="36"/>
      <c r="S90" s="36"/>
      <c r="T90" s="46"/>
      <c r="U90" s="36"/>
      <c r="V90" s="35"/>
      <c r="W90" s="38" t="str">
        <f t="shared" si="1"/>
        <v/>
      </c>
    </row>
    <row r="91" spans="1:23" x14ac:dyDescent="0.35">
      <c r="A91" s="46"/>
      <c r="B91" s="36"/>
      <c r="C91" s="35"/>
      <c r="D91" s="24"/>
      <c r="E91" s="35"/>
      <c r="F91" s="35"/>
      <c r="G91" s="36"/>
      <c r="H91" s="36"/>
      <c r="I91" s="36"/>
      <c r="J91" s="36"/>
      <c r="K91" s="36"/>
      <c r="L91" s="36"/>
      <c r="M91" s="36"/>
      <c r="N91" s="35"/>
      <c r="O91" s="35"/>
      <c r="P91" s="35"/>
      <c r="Q91" s="36"/>
      <c r="R91" s="36"/>
      <c r="S91" s="36"/>
      <c r="T91" s="46"/>
      <c r="U91" s="36"/>
      <c r="V91" s="35"/>
      <c r="W91" s="38" t="str">
        <f t="shared" si="1"/>
        <v/>
      </c>
    </row>
    <row r="92" spans="1:23" x14ac:dyDescent="0.35">
      <c r="A92" s="46"/>
      <c r="B92" s="36"/>
      <c r="C92" s="35"/>
      <c r="D92" s="24"/>
      <c r="E92" s="35"/>
      <c r="F92" s="35"/>
      <c r="G92" s="36"/>
      <c r="H92" s="36"/>
      <c r="I92" s="36"/>
      <c r="J92" s="36"/>
      <c r="K92" s="36"/>
      <c r="L92" s="36"/>
      <c r="M92" s="36"/>
      <c r="N92" s="35"/>
      <c r="O92" s="35"/>
      <c r="P92" s="35"/>
      <c r="Q92" s="36"/>
      <c r="R92" s="36"/>
      <c r="S92" s="36"/>
      <c r="T92" s="46"/>
      <c r="U92" s="36"/>
      <c r="V92" s="35"/>
      <c r="W92" s="38" t="str">
        <f t="shared" si="1"/>
        <v/>
      </c>
    </row>
    <row r="93" spans="1:23" x14ac:dyDescent="0.35">
      <c r="A93" s="46"/>
      <c r="B93" s="36"/>
      <c r="C93" s="35"/>
      <c r="D93" s="24"/>
      <c r="E93" s="35"/>
      <c r="F93" s="35"/>
      <c r="G93" s="36"/>
      <c r="H93" s="36"/>
      <c r="I93" s="36"/>
      <c r="J93" s="36"/>
      <c r="K93" s="36"/>
      <c r="L93" s="36"/>
      <c r="M93" s="36"/>
      <c r="N93" s="35"/>
      <c r="O93" s="35"/>
      <c r="P93" s="35"/>
      <c r="Q93" s="36"/>
      <c r="R93" s="36"/>
      <c r="S93" s="36"/>
      <c r="T93" s="46"/>
      <c r="U93" s="36"/>
      <c r="V93" s="35"/>
      <c r="W93" s="38" t="str">
        <f t="shared" si="1"/>
        <v/>
      </c>
    </row>
    <row r="94" spans="1:23" x14ac:dyDescent="0.35">
      <c r="A94" s="46"/>
      <c r="B94" s="36"/>
      <c r="C94" s="35"/>
      <c r="D94" s="24"/>
      <c r="E94" s="35"/>
      <c r="F94" s="35"/>
      <c r="G94" s="36"/>
      <c r="H94" s="36"/>
      <c r="I94" s="36"/>
      <c r="J94" s="36"/>
      <c r="K94" s="36"/>
      <c r="L94" s="36"/>
      <c r="M94" s="36"/>
      <c r="N94" s="35"/>
      <c r="O94" s="35"/>
      <c r="P94" s="35"/>
      <c r="Q94" s="36"/>
      <c r="R94" s="36"/>
      <c r="S94" s="36"/>
      <c r="T94" s="46"/>
      <c r="U94" s="36"/>
      <c r="V94" s="35"/>
      <c r="W94" s="38" t="str">
        <f t="shared" si="1"/>
        <v/>
      </c>
    </row>
    <row r="95" spans="1:23" x14ac:dyDescent="0.35">
      <c r="A95" s="46"/>
      <c r="B95" s="36"/>
      <c r="C95" s="35"/>
      <c r="D95" s="24"/>
      <c r="E95" s="35"/>
      <c r="F95" s="35"/>
      <c r="G95" s="36"/>
      <c r="H95" s="36"/>
      <c r="I95" s="36"/>
      <c r="J95" s="36"/>
      <c r="K95" s="36"/>
      <c r="L95" s="36"/>
      <c r="M95" s="36"/>
      <c r="N95" s="35"/>
      <c r="O95" s="35"/>
      <c r="P95" s="35"/>
      <c r="Q95" s="36"/>
      <c r="R95" s="36"/>
      <c r="S95" s="36"/>
      <c r="T95" s="46"/>
      <c r="U95" s="36"/>
      <c r="V95" s="35"/>
      <c r="W95" s="38" t="str">
        <f t="shared" si="1"/>
        <v/>
      </c>
    </row>
    <row r="96" spans="1:23" x14ac:dyDescent="0.35">
      <c r="A96" s="46"/>
      <c r="B96" s="36"/>
      <c r="C96" s="35"/>
      <c r="D96" s="24"/>
      <c r="E96" s="35"/>
      <c r="F96" s="35"/>
      <c r="G96" s="36"/>
      <c r="H96" s="36"/>
      <c r="I96" s="36"/>
      <c r="J96" s="36"/>
      <c r="K96" s="36"/>
      <c r="L96" s="36"/>
      <c r="M96" s="36"/>
      <c r="N96" s="35"/>
      <c r="O96" s="35"/>
      <c r="P96" s="35"/>
      <c r="Q96" s="36"/>
      <c r="R96" s="36"/>
      <c r="S96" s="36"/>
      <c r="T96" s="46"/>
      <c r="U96" s="36"/>
      <c r="V96" s="35"/>
      <c r="W96" s="38" t="str">
        <f t="shared" si="1"/>
        <v/>
      </c>
    </row>
    <row r="97" spans="1:23" x14ac:dyDescent="0.35">
      <c r="A97" s="46"/>
      <c r="B97" s="36"/>
      <c r="C97" s="35"/>
      <c r="D97" s="24"/>
      <c r="E97" s="35"/>
      <c r="F97" s="35"/>
      <c r="G97" s="36"/>
      <c r="H97" s="36"/>
      <c r="I97" s="36"/>
      <c r="J97" s="36"/>
      <c r="K97" s="36"/>
      <c r="L97" s="36"/>
      <c r="M97" s="36"/>
      <c r="N97" s="35"/>
      <c r="O97" s="35"/>
      <c r="P97" s="35"/>
      <c r="Q97" s="36"/>
      <c r="R97" s="36"/>
      <c r="S97" s="36"/>
      <c r="T97" s="46"/>
      <c r="U97" s="36"/>
      <c r="V97" s="35"/>
      <c r="W97" s="38" t="str">
        <f t="shared" si="1"/>
        <v/>
      </c>
    </row>
    <row r="98" spans="1:23" x14ac:dyDescent="0.35">
      <c r="A98" s="46"/>
      <c r="B98" s="36"/>
      <c r="C98" s="35"/>
      <c r="D98" s="24"/>
      <c r="E98" s="35"/>
      <c r="F98" s="35"/>
      <c r="G98" s="36"/>
      <c r="H98" s="36"/>
      <c r="I98" s="36"/>
      <c r="J98" s="36"/>
      <c r="K98" s="36"/>
      <c r="L98" s="36"/>
      <c r="M98" s="36"/>
      <c r="N98" s="35"/>
      <c r="O98" s="35"/>
      <c r="P98" s="35"/>
      <c r="Q98" s="36"/>
      <c r="R98" s="36"/>
      <c r="S98" s="36"/>
      <c r="T98" s="46"/>
      <c r="U98" s="36"/>
      <c r="V98" s="35"/>
      <c r="W98" s="38" t="str">
        <f t="shared" si="1"/>
        <v/>
      </c>
    </row>
    <row r="99" spans="1:23" x14ac:dyDescent="0.35">
      <c r="A99" s="46"/>
      <c r="B99" s="36"/>
      <c r="C99" s="35"/>
      <c r="D99" s="24"/>
      <c r="E99" s="35"/>
      <c r="F99" s="35"/>
      <c r="G99" s="36"/>
      <c r="H99" s="36"/>
      <c r="I99" s="36"/>
      <c r="J99" s="36"/>
      <c r="K99" s="36"/>
      <c r="L99" s="36"/>
      <c r="M99" s="36"/>
      <c r="N99" s="35"/>
      <c r="O99" s="35"/>
      <c r="P99" s="35"/>
      <c r="Q99" s="36"/>
      <c r="R99" s="36"/>
      <c r="S99" s="36"/>
      <c r="T99" s="46"/>
      <c r="U99" s="36"/>
      <c r="V99" s="35"/>
      <c r="W99" s="38" t="str">
        <f t="shared" si="1"/>
        <v/>
      </c>
    </row>
    <row r="100" spans="1:23" x14ac:dyDescent="0.35">
      <c r="A100" s="46"/>
      <c r="B100" s="36"/>
      <c r="C100" s="35"/>
      <c r="D100" s="24"/>
      <c r="E100" s="35"/>
      <c r="F100" s="35"/>
      <c r="G100" s="36"/>
      <c r="H100" s="36"/>
      <c r="I100" s="36"/>
      <c r="J100" s="36"/>
      <c r="K100" s="36"/>
      <c r="L100" s="36"/>
      <c r="M100" s="36"/>
      <c r="N100" s="35"/>
      <c r="O100" s="35"/>
      <c r="P100" s="35"/>
      <c r="Q100" s="36"/>
      <c r="R100" s="36"/>
      <c r="S100" s="36"/>
      <c r="T100" s="46"/>
      <c r="U100" s="36"/>
      <c r="V100" s="35"/>
      <c r="W100" s="38" t="str">
        <f t="shared" si="1"/>
        <v/>
      </c>
    </row>
    <row r="101" spans="1:23" x14ac:dyDescent="0.35">
      <c r="A101" s="46"/>
      <c r="B101" s="36"/>
      <c r="C101" s="35"/>
      <c r="D101" s="24"/>
      <c r="E101" s="35"/>
      <c r="F101" s="35"/>
      <c r="G101" s="36"/>
      <c r="H101" s="36"/>
      <c r="I101" s="36"/>
      <c r="J101" s="36"/>
      <c r="K101" s="36"/>
      <c r="L101" s="36"/>
      <c r="M101" s="36"/>
      <c r="N101" s="35"/>
      <c r="O101" s="35"/>
      <c r="P101" s="35"/>
      <c r="Q101" s="36"/>
      <c r="R101" s="36"/>
      <c r="S101" s="36"/>
      <c r="T101" s="46"/>
      <c r="U101" s="36"/>
      <c r="V101" s="35"/>
      <c r="W101" s="38" t="str">
        <f t="shared" si="1"/>
        <v/>
      </c>
    </row>
    <row r="102" spans="1:23" x14ac:dyDescent="0.35">
      <c r="A102" s="46"/>
      <c r="B102" s="36"/>
      <c r="C102" s="35"/>
      <c r="D102" s="24"/>
      <c r="E102" s="35"/>
      <c r="F102" s="35"/>
      <c r="G102" s="36"/>
      <c r="H102" s="36"/>
      <c r="I102" s="36"/>
      <c r="J102" s="36"/>
      <c r="K102" s="36"/>
      <c r="L102" s="36"/>
      <c r="M102" s="36"/>
      <c r="N102" s="35"/>
      <c r="O102" s="35"/>
      <c r="P102" s="35"/>
      <c r="Q102" s="36"/>
      <c r="R102" s="36"/>
      <c r="S102" s="36"/>
      <c r="T102" s="46"/>
      <c r="U102" s="36"/>
      <c r="V102" s="35"/>
      <c r="W102" s="38" t="str">
        <f t="shared" si="1"/>
        <v/>
      </c>
    </row>
    <row r="103" spans="1:23" x14ac:dyDescent="0.35">
      <c r="A103" s="46"/>
      <c r="B103" s="36"/>
      <c r="C103" s="35"/>
      <c r="D103" s="24"/>
      <c r="E103" s="35"/>
      <c r="F103" s="35"/>
      <c r="G103" s="36"/>
      <c r="H103" s="36"/>
      <c r="I103" s="36"/>
      <c r="J103" s="36"/>
      <c r="K103" s="36"/>
      <c r="L103" s="36"/>
      <c r="M103" s="36"/>
      <c r="N103" s="35"/>
      <c r="O103" s="35"/>
      <c r="P103" s="35"/>
      <c r="Q103" s="36"/>
      <c r="R103" s="36"/>
      <c r="S103" s="36"/>
      <c r="T103" s="46"/>
      <c r="U103" s="36"/>
      <c r="V103" s="35"/>
      <c r="W103" s="38" t="str">
        <f t="shared" si="1"/>
        <v/>
      </c>
    </row>
    <row r="104" spans="1:23" x14ac:dyDescent="0.35">
      <c r="A104" s="46"/>
      <c r="B104" s="36"/>
      <c r="C104" s="35"/>
      <c r="D104" s="24"/>
      <c r="E104" s="35"/>
      <c r="F104" s="35"/>
      <c r="G104" s="36"/>
      <c r="H104" s="36"/>
      <c r="I104" s="36"/>
      <c r="J104" s="36"/>
      <c r="K104" s="36"/>
      <c r="L104" s="36"/>
      <c r="M104" s="36"/>
      <c r="N104" s="35"/>
      <c r="O104" s="35"/>
      <c r="P104" s="35"/>
      <c r="Q104" s="36"/>
      <c r="R104" s="36"/>
      <c r="S104" s="36"/>
      <c r="T104" s="46"/>
      <c r="U104" s="36"/>
      <c r="V104" s="35"/>
      <c r="W104" s="38" t="str">
        <f t="shared" si="1"/>
        <v/>
      </c>
    </row>
    <row r="105" spans="1:23" x14ac:dyDescent="0.35">
      <c r="A105" s="46"/>
      <c r="B105" s="36"/>
      <c r="C105" s="35"/>
      <c r="D105" s="24"/>
      <c r="E105" s="35"/>
      <c r="F105" s="35"/>
      <c r="G105" s="36"/>
      <c r="H105" s="36"/>
      <c r="I105" s="36"/>
      <c r="J105" s="36"/>
      <c r="K105" s="36"/>
      <c r="L105" s="36"/>
      <c r="M105" s="36"/>
      <c r="N105" s="35"/>
      <c r="O105" s="35"/>
      <c r="P105" s="35"/>
      <c r="Q105" s="36"/>
      <c r="R105" s="36"/>
      <c r="S105" s="36"/>
      <c r="T105" s="46"/>
      <c r="U105" s="36"/>
      <c r="V105" s="35"/>
      <c r="W105" s="38" t="str">
        <f t="shared" si="1"/>
        <v/>
      </c>
    </row>
    <row r="106" spans="1:23" x14ac:dyDescent="0.35">
      <c r="A106" s="46"/>
      <c r="B106" s="36"/>
      <c r="C106" s="35"/>
      <c r="D106" s="24"/>
      <c r="E106" s="35"/>
      <c r="F106" s="35"/>
      <c r="G106" s="36"/>
      <c r="H106" s="36"/>
      <c r="I106" s="36"/>
      <c r="J106" s="36"/>
      <c r="K106" s="36"/>
      <c r="L106" s="36"/>
      <c r="M106" s="36"/>
      <c r="N106" s="35"/>
      <c r="O106" s="35"/>
      <c r="P106" s="35"/>
      <c r="Q106" s="36"/>
      <c r="R106" s="36"/>
      <c r="S106" s="36"/>
      <c r="T106" s="46"/>
      <c r="U106" s="36"/>
      <c r="V106" s="35"/>
      <c r="W106" s="38" t="str">
        <f t="shared" si="1"/>
        <v/>
      </c>
    </row>
    <row r="107" spans="1:23" x14ac:dyDescent="0.35">
      <c r="A107" s="46"/>
      <c r="B107" s="36"/>
      <c r="C107" s="35"/>
      <c r="D107" s="24"/>
      <c r="E107" s="35"/>
      <c r="F107" s="35"/>
      <c r="G107" s="36"/>
      <c r="H107" s="36"/>
      <c r="I107" s="36"/>
      <c r="J107" s="36"/>
      <c r="K107" s="36"/>
      <c r="L107" s="36"/>
      <c r="M107" s="36"/>
      <c r="N107" s="35"/>
      <c r="O107" s="35"/>
      <c r="P107" s="35"/>
      <c r="Q107" s="36"/>
      <c r="R107" s="36"/>
      <c r="S107" s="36"/>
      <c r="T107" s="46"/>
      <c r="U107" s="36"/>
      <c r="V107" s="35"/>
      <c r="W107" s="38" t="str">
        <f t="shared" si="1"/>
        <v/>
      </c>
    </row>
    <row r="108" spans="1:23" x14ac:dyDescent="0.35">
      <c r="A108" s="46"/>
      <c r="B108" s="36"/>
      <c r="C108" s="35"/>
      <c r="D108" s="24"/>
      <c r="E108" s="35"/>
      <c r="F108" s="35"/>
      <c r="G108" s="36"/>
      <c r="H108" s="36"/>
      <c r="I108" s="36"/>
      <c r="J108" s="36"/>
      <c r="K108" s="36"/>
      <c r="L108" s="36"/>
      <c r="M108" s="36"/>
      <c r="N108" s="35"/>
      <c r="O108" s="35"/>
      <c r="P108" s="35"/>
      <c r="Q108" s="36"/>
      <c r="R108" s="36"/>
      <c r="S108" s="36"/>
      <c r="T108" s="46"/>
      <c r="U108" s="36"/>
      <c r="V108" s="35"/>
      <c r="W108" s="38" t="str">
        <f t="shared" si="1"/>
        <v/>
      </c>
    </row>
    <row r="109" spans="1:23" x14ac:dyDescent="0.35">
      <c r="A109" s="46"/>
      <c r="B109" s="36"/>
      <c r="C109" s="35"/>
      <c r="D109" s="24"/>
      <c r="E109" s="35"/>
      <c r="F109" s="35"/>
      <c r="G109" s="36"/>
      <c r="H109" s="36"/>
      <c r="I109" s="36"/>
      <c r="J109" s="36"/>
      <c r="K109" s="36"/>
      <c r="L109" s="36"/>
      <c r="M109" s="36"/>
      <c r="N109" s="35"/>
      <c r="O109" s="35"/>
      <c r="P109" s="35"/>
      <c r="Q109" s="36"/>
      <c r="R109" s="36"/>
      <c r="S109" s="36"/>
      <c r="T109" s="46"/>
      <c r="U109" s="36"/>
      <c r="V109" s="35"/>
      <c r="W109" s="38" t="str">
        <f t="shared" si="1"/>
        <v/>
      </c>
    </row>
    <row r="110" spans="1:23" x14ac:dyDescent="0.35">
      <c r="A110" s="46"/>
      <c r="B110" s="36"/>
      <c r="C110" s="35"/>
      <c r="D110" s="24"/>
      <c r="E110" s="35"/>
      <c r="F110" s="35"/>
      <c r="G110" s="36"/>
      <c r="H110" s="36"/>
      <c r="I110" s="36"/>
      <c r="J110" s="36"/>
      <c r="K110" s="36"/>
      <c r="L110" s="36"/>
      <c r="M110" s="36"/>
      <c r="N110" s="35"/>
      <c r="O110" s="35"/>
      <c r="P110" s="35"/>
      <c r="Q110" s="36"/>
      <c r="R110" s="36"/>
      <c r="S110" s="36"/>
      <c r="T110" s="46"/>
      <c r="U110" s="36"/>
      <c r="V110" s="35"/>
      <c r="W110" s="38" t="str">
        <f t="shared" si="1"/>
        <v/>
      </c>
    </row>
    <row r="111" spans="1:23" x14ac:dyDescent="0.35">
      <c r="A111" s="46"/>
      <c r="B111" s="36"/>
      <c r="C111" s="35"/>
      <c r="D111" s="24"/>
      <c r="E111" s="35"/>
      <c r="F111" s="35"/>
      <c r="G111" s="36"/>
      <c r="H111" s="36"/>
      <c r="I111" s="36"/>
      <c r="J111" s="36"/>
      <c r="K111" s="36"/>
      <c r="L111" s="36"/>
      <c r="M111" s="36"/>
      <c r="N111" s="35"/>
      <c r="O111" s="35"/>
      <c r="P111" s="35"/>
      <c r="Q111" s="36"/>
      <c r="R111" s="36"/>
      <c r="S111" s="36"/>
      <c r="T111" s="46"/>
      <c r="U111" s="36"/>
      <c r="V111" s="35"/>
      <c r="W111" s="38" t="str">
        <f t="shared" si="1"/>
        <v/>
      </c>
    </row>
    <row r="112" spans="1:23" x14ac:dyDescent="0.35">
      <c r="A112" s="46"/>
      <c r="B112" s="36"/>
      <c r="C112" s="35"/>
      <c r="D112" s="24"/>
      <c r="E112" s="35"/>
      <c r="F112" s="35"/>
      <c r="G112" s="36"/>
      <c r="H112" s="36"/>
      <c r="I112" s="36"/>
      <c r="J112" s="36"/>
      <c r="K112" s="36"/>
      <c r="L112" s="36"/>
      <c r="M112" s="36"/>
      <c r="N112" s="35"/>
      <c r="O112" s="35"/>
      <c r="P112" s="35"/>
      <c r="Q112" s="36"/>
      <c r="R112" s="36"/>
      <c r="S112" s="36"/>
      <c r="T112" s="46"/>
      <c r="U112" s="36"/>
      <c r="V112" s="35"/>
      <c r="W112" s="38" t="str">
        <f t="shared" si="1"/>
        <v/>
      </c>
    </row>
    <row r="113" spans="1:23" x14ac:dyDescent="0.35">
      <c r="A113" s="46"/>
      <c r="B113" s="36"/>
      <c r="C113" s="35"/>
      <c r="D113" s="24"/>
      <c r="E113" s="35"/>
      <c r="F113" s="35"/>
      <c r="G113" s="36"/>
      <c r="H113" s="36"/>
      <c r="I113" s="36"/>
      <c r="J113" s="36"/>
      <c r="K113" s="36"/>
      <c r="L113" s="36"/>
      <c r="M113" s="36"/>
      <c r="N113" s="35"/>
      <c r="O113" s="35"/>
      <c r="P113" s="35"/>
      <c r="Q113" s="36"/>
      <c r="R113" s="36"/>
      <c r="S113" s="36"/>
      <c r="T113" s="46"/>
      <c r="U113" s="36"/>
      <c r="V113" s="35"/>
      <c r="W113" s="38" t="str">
        <f t="shared" si="1"/>
        <v/>
      </c>
    </row>
    <row r="114" spans="1:23" x14ac:dyDescent="0.35">
      <c r="A114" s="46"/>
      <c r="B114" s="36"/>
      <c r="C114" s="35"/>
      <c r="D114" s="24"/>
      <c r="E114" s="35"/>
      <c r="F114" s="35"/>
      <c r="G114" s="36"/>
      <c r="H114" s="36"/>
      <c r="I114" s="36"/>
      <c r="J114" s="36"/>
      <c r="K114" s="36"/>
      <c r="L114" s="36"/>
      <c r="M114" s="36"/>
      <c r="N114" s="35"/>
      <c r="O114" s="35"/>
      <c r="P114" s="35"/>
      <c r="Q114" s="36"/>
      <c r="R114" s="36"/>
      <c r="S114" s="36"/>
      <c r="T114" s="46"/>
      <c r="U114" s="36"/>
      <c r="V114" s="35"/>
      <c r="W114" s="38" t="str">
        <f t="shared" si="1"/>
        <v/>
      </c>
    </row>
    <row r="115" spans="1:23" x14ac:dyDescent="0.35">
      <c r="A115" s="46"/>
      <c r="B115" s="36"/>
      <c r="C115" s="35"/>
      <c r="D115" s="24"/>
      <c r="E115" s="35"/>
      <c r="F115" s="35"/>
      <c r="G115" s="36"/>
      <c r="H115" s="36"/>
      <c r="I115" s="36"/>
      <c r="J115" s="36"/>
      <c r="K115" s="36"/>
      <c r="L115" s="36"/>
      <c r="M115" s="36"/>
      <c r="N115" s="35"/>
      <c r="O115" s="35"/>
      <c r="P115" s="35"/>
      <c r="Q115" s="36"/>
      <c r="R115" s="36"/>
      <c r="S115" s="36"/>
      <c r="T115" s="46"/>
      <c r="U115" s="36"/>
      <c r="V115" s="35"/>
      <c r="W115" s="38" t="str">
        <f t="shared" si="1"/>
        <v/>
      </c>
    </row>
    <row r="116" spans="1:23" x14ac:dyDescent="0.35">
      <c r="A116" s="46"/>
      <c r="B116" s="36"/>
      <c r="C116" s="35"/>
      <c r="D116" s="24"/>
      <c r="E116" s="35"/>
      <c r="F116" s="35"/>
      <c r="G116" s="36"/>
      <c r="H116" s="36"/>
      <c r="I116" s="36"/>
      <c r="J116" s="36"/>
      <c r="K116" s="36"/>
      <c r="L116" s="36"/>
      <c r="M116" s="36"/>
      <c r="N116" s="35"/>
      <c r="O116" s="35"/>
      <c r="P116" s="35"/>
      <c r="Q116" s="36"/>
      <c r="R116" s="36"/>
      <c r="S116" s="36"/>
      <c r="T116" s="46"/>
      <c r="U116" s="36"/>
      <c r="V116" s="35"/>
      <c r="W116" s="38" t="str">
        <f t="shared" si="1"/>
        <v/>
      </c>
    </row>
    <row r="117" spans="1:23" x14ac:dyDescent="0.35">
      <c r="A117" s="46"/>
      <c r="B117" s="36"/>
      <c r="C117" s="35"/>
      <c r="D117" s="24"/>
      <c r="E117" s="35"/>
      <c r="F117" s="35"/>
      <c r="G117" s="36"/>
      <c r="H117" s="36"/>
      <c r="I117" s="36"/>
      <c r="J117" s="36"/>
      <c r="K117" s="36"/>
      <c r="L117" s="36"/>
      <c r="M117" s="36"/>
      <c r="N117" s="35"/>
      <c r="O117" s="35"/>
      <c r="P117" s="35"/>
      <c r="Q117" s="36"/>
      <c r="R117" s="36"/>
      <c r="S117" s="36"/>
      <c r="T117" s="46"/>
      <c r="U117" s="36"/>
      <c r="V117" s="35"/>
      <c r="W117" s="38" t="str">
        <f t="shared" si="1"/>
        <v/>
      </c>
    </row>
    <row r="118" spans="1:23" x14ac:dyDescent="0.35">
      <c r="A118" s="46"/>
      <c r="B118" s="36"/>
      <c r="C118" s="35"/>
      <c r="D118" s="24"/>
      <c r="E118" s="35"/>
      <c r="F118" s="35"/>
      <c r="G118" s="36"/>
      <c r="H118" s="36"/>
      <c r="I118" s="36"/>
      <c r="J118" s="36"/>
      <c r="K118" s="36"/>
      <c r="L118" s="36"/>
      <c r="M118" s="36"/>
      <c r="N118" s="35"/>
      <c r="O118" s="35"/>
      <c r="P118" s="35"/>
      <c r="Q118" s="36"/>
      <c r="R118" s="36"/>
      <c r="S118" s="36"/>
      <c r="T118" s="46"/>
      <c r="U118" s="36"/>
      <c r="V118" s="35"/>
      <c r="W118" s="38" t="str">
        <f t="shared" si="1"/>
        <v/>
      </c>
    </row>
    <row r="119" spans="1:23" x14ac:dyDescent="0.35">
      <c r="A119" s="46"/>
      <c r="B119" s="36"/>
      <c r="C119" s="35"/>
      <c r="D119" s="24"/>
      <c r="E119" s="35"/>
      <c r="F119" s="35"/>
      <c r="G119" s="36"/>
      <c r="H119" s="36"/>
      <c r="I119" s="36"/>
      <c r="J119" s="36"/>
      <c r="K119" s="36"/>
      <c r="L119" s="36"/>
      <c r="M119" s="36"/>
      <c r="N119" s="35"/>
      <c r="O119" s="35"/>
      <c r="P119" s="35"/>
      <c r="Q119" s="36"/>
      <c r="R119" s="36"/>
      <c r="S119" s="36"/>
      <c r="T119" s="46"/>
      <c r="U119" s="36"/>
      <c r="V119" s="35"/>
      <c r="W119" s="38" t="str">
        <f t="shared" si="1"/>
        <v/>
      </c>
    </row>
    <row r="120" spans="1:23" x14ac:dyDescent="0.35">
      <c r="A120" s="46"/>
      <c r="B120" s="36"/>
      <c r="C120" s="35"/>
      <c r="D120" s="24"/>
      <c r="E120" s="35"/>
      <c r="F120" s="35"/>
      <c r="G120" s="36"/>
      <c r="H120" s="36"/>
      <c r="I120" s="36"/>
      <c r="J120" s="36"/>
      <c r="K120" s="36"/>
      <c r="L120" s="36"/>
      <c r="M120" s="36"/>
      <c r="N120" s="35"/>
      <c r="O120" s="35"/>
      <c r="P120" s="35"/>
      <c r="Q120" s="36"/>
      <c r="R120" s="36"/>
      <c r="S120" s="36"/>
      <c r="T120" s="46"/>
      <c r="U120" s="36"/>
      <c r="V120" s="35"/>
      <c r="W120" s="38" t="str">
        <f t="shared" si="1"/>
        <v/>
      </c>
    </row>
    <row r="121" spans="1:23" x14ac:dyDescent="0.35">
      <c r="A121" s="46"/>
      <c r="B121" s="36"/>
      <c r="C121" s="35"/>
      <c r="D121" s="24"/>
      <c r="E121" s="35"/>
      <c r="F121" s="35"/>
      <c r="G121" s="36"/>
      <c r="H121" s="36"/>
      <c r="I121" s="36"/>
      <c r="J121" s="36"/>
      <c r="K121" s="36"/>
      <c r="L121" s="36"/>
      <c r="M121" s="36"/>
      <c r="N121" s="35"/>
      <c r="O121" s="35"/>
      <c r="P121" s="35"/>
      <c r="Q121" s="36"/>
      <c r="R121" s="36"/>
      <c r="S121" s="36"/>
      <c r="T121" s="46"/>
      <c r="U121" s="36"/>
      <c r="V121" s="35"/>
      <c r="W121" s="38" t="str">
        <f t="shared" si="1"/>
        <v/>
      </c>
    </row>
    <row r="122" spans="1:23" x14ac:dyDescent="0.35">
      <c r="A122" s="46"/>
      <c r="B122" s="36"/>
      <c r="C122" s="35"/>
      <c r="D122" s="24"/>
      <c r="E122" s="35"/>
      <c r="F122" s="35"/>
      <c r="G122" s="36"/>
      <c r="H122" s="36"/>
      <c r="I122" s="36"/>
      <c r="J122" s="36"/>
      <c r="K122" s="36"/>
      <c r="L122" s="36"/>
      <c r="M122" s="36"/>
      <c r="N122" s="35"/>
      <c r="O122" s="35"/>
      <c r="P122" s="35"/>
      <c r="Q122" s="36"/>
      <c r="R122" s="36"/>
      <c r="S122" s="36"/>
      <c r="T122" s="46"/>
      <c r="U122" s="36"/>
      <c r="V122" s="35"/>
      <c r="W122" s="38" t="str">
        <f t="shared" si="1"/>
        <v/>
      </c>
    </row>
    <row r="123" spans="1:23" x14ac:dyDescent="0.35">
      <c r="A123" s="46"/>
      <c r="B123" s="36"/>
      <c r="C123" s="35"/>
      <c r="D123" s="24"/>
      <c r="E123" s="35"/>
      <c r="F123" s="35"/>
      <c r="G123" s="36"/>
      <c r="H123" s="36"/>
      <c r="I123" s="36"/>
      <c r="J123" s="36"/>
      <c r="K123" s="36"/>
      <c r="L123" s="36"/>
      <c r="M123" s="36"/>
      <c r="N123" s="35"/>
      <c r="O123" s="35"/>
      <c r="P123" s="35"/>
      <c r="Q123" s="36"/>
      <c r="R123" s="36"/>
      <c r="S123" s="36"/>
      <c r="T123" s="46"/>
      <c r="U123" s="36"/>
      <c r="V123" s="35"/>
      <c r="W123" s="38" t="str">
        <f t="shared" si="1"/>
        <v/>
      </c>
    </row>
    <row r="124" spans="1:23" x14ac:dyDescent="0.35">
      <c r="A124" s="46"/>
      <c r="B124" s="36"/>
      <c r="C124" s="35"/>
      <c r="D124" s="24"/>
      <c r="E124" s="35"/>
      <c r="F124" s="35"/>
      <c r="G124" s="36"/>
      <c r="H124" s="36"/>
      <c r="I124" s="36"/>
      <c r="J124" s="36"/>
      <c r="K124" s="36"/>
      <c r="L124" s="36"/>
      <c r="M124" s="36"/>
      <c r="N124" s="35"/>
      <c r="O124" s="35"/>
      <c r="P124" s="35"/>
      <c r="Q124" s="36"/>
      <c r="R124" s="36"/>
      <c r="S124" s="36"/>
      <c r="T124" s="46"/>
      <c r="U124" s="36"/>
      <c r="V124" s="35"/>
      <c r="W124" s="38" t="str">
        <f t="shared" si="1"/>
        <v/>
      </c>
    </row>
    <row r="125" spans="1:23" x14ac:dyDescent="0.35">
      <c r="A125" s="46"/>
      <c r="B125" s="36"/>
      <c r="C125" s="35"/>
      <c r="D125" s="24"/>
      <c r="E125" s="35"/>
      <c r="F125" s="35"/>
      <c r="G125" s="36"/>
      <c r="H125" s="36"/>
      <c r="I125" s="36"/>
      <c r="J125" s="36"/>
      <c r="K125" s="36"/>
      <c r="L125" s="36"/>
      <c r="M125" s="36"/>
      <c r="N125" s="35"/>
      <c r="O125" s="35"/>
      <c r="P125" s="35"/>
      <c r="Q125" s="36"/>
      <c r="R125" s="36"/>
      <c r="S125" s="36"/>
      <c r="T125" s="46"/>
      <c r="U125" s="36"/>
      <c r="V125" s="35"/>
      <c r="W125" s="38" t="str">
        <f t="shared" si="1"/>
        <v/>
      </c>
    </row>
    <row r="126" spans="1:23" x14ac:dyDescent="0.35">
      <c r="A126" s="46"/>
      <c r="B126" s="36"/>
      <c r="C126" s="35"/>
      <c r="D126" s="24"/>
      <c r="E126" s="35"/>
      <c r="F126" s="35"/>
      <c r="G126" s="36"/>
      <c r="H126" s="36"/>
      <c r="I126" s="36"/>
      <c r="J126" s="36"/>
      <c r="K126" s="36"/>
      <c r="L126" s="36"/>
      <c r="M126" s="36"/>
      <c r="N126" s="35"/>
      <c r="O126" s="35"/>
      <c r="P126" s="35"/>
      <c r="Q126" s="36"/>
      <c r="R126" s="36"/>
      <c r="S126" s="36"/>
      <c r="T126" s="46"/>
      <c r="U126" s="36"/>
      <c r="V126" s="35"/>
      <c r="W126" s="38" t="str">
        <f t="shared" si="1"/>
        <v/>
      </c>
    </row>
    <row r="127" spans="1:23" x14ac:dyDescent="0.35">
      <c r="A127" s="46"/>
      <c r="B127" s="36"/>
      <c r="C127" s="35"/>
      <c r="D127" s="24"/>
      <c r="E127" s="35"/>
      <c r="F127" s="35"/>
      <c r="G127" s="36"/>
      <c r="H127" s="36"/>
      <c r="I127" s="36"/>
      <c r="J127" s="36"/>
      <c r="K127" s="36"/>
      <c r="L127" s="36"/>
      <c r="M127" s="36"/>
      <c r="N127" s="35"/>
      <c r="O127" s="35"/>
      <c r="P127" s="35"/>
      <c r="Q127" s="36"/>
      <c r="R127" s="36"/>
      <c r="S127" s="36"/>
      <c r="T127" s="46"/>
      <c r="U127" s="36"/>
      <c r="V127" s="35"/>
      <c r="W127" s="38" t="str">
        <f t="shared" si="1"/>
        <v/>
      </c>
    </row>
    <row r="128" spans="1:23" x14ac:dyDescent="0.35">
      <c r="A128" s="46"/>
      <c r="B128" s="36"/>
      <c r="C128" s="35"/>
      <c r="D128" s="24"/>
      <c r="E128" s="35"/>
      <c r="F128" s="35"/>
      <c r="G128" s="36"/>
      <c r="H128" s="36"/>
      <c r="I128" s="36"/>
      <c r="J128" s="36"/>
      <c r="K128" s="36"/>
      <c r="L128" s="36"/>
      <c r="M128" s="36"/>
      <c r="N128" s="35"/>
      <c r="O128" s="35"/>
      <c r="P128" s="35"/>
      <c r="Q128" s="36"/>
      <c r="R128" s="36"/>
      <c r="S128" s="36"/>
      <c r="T128" s="46"/>
      <c r="U128" s="36"/>
      <c r="V128" s="35"/>
      <c r="W128" s="38" t="str">
        <f t="shared" si="1"/>
        <v/>
      </c>
    </row>
    <row r="129" spans="1:23" x14ac:dyDescent="0.35">
      <c r="A129" s="46"/>
      <c r="B129" s="36"/>
      <c r="C129" s="35"/>
      <c r="D129" s="24"/>
      <c r="E129" s="35"/>
      <c r="F129" s="35"/>
      <c r="G129" s="36"/>
      <c r="H129" s="36"/>
      <c r="I129" s="36"/>
      <c r="J129" s="36"/>
      <c r="K129" s="36"/>
      <c r="L129" s="36"/>
      <c r="M129" s="36"/>
      <c r="N129" s="35"/>
      <c r="O129" s="35"/>
      <c r="P129" s="35"/>
      <c r="Q129" s="36"/>
      <c r="R129" s="36"/>
      <c r="S129" s="36"/>
      <c r="T129" s="46"/>
      <c r="U129" s="36"/>
      <c r="V129" s="35"/>
      <c r="W129" s="38" t="str">
        <f t="shared" si="1"/>
        <v/>
      </c>
    </row>
    <row r="130" spans="1:23" x14ac:dyDescent="0.35">
      <c r="A130" s="46"/>
      <c r="B130" s="36"/>
      <c r="C130" s="35"/>
      <c r="D130" s="24"/>
      <c r="E130" s="35"/>
      <c r="F130" s="35"/>
      <c r="G130" s="36"/>
      <c r="H130" s="36"/>
      <c r="I130" s="36"/>
      <c r="J130" s="36"/>
      <c r="K130" s="36"/>
      <c r="L130" s="36"/>
      <c r="M130" s="36"/>
      <c r="N130" s="35"/>
      <c r="O130" s="35"/>
      <c r="P130" s="35"/>
      <c r="Q130" s="36"/>
      <c r="R130" s="36"/>
      <c r="S130" s="36"/>
      <c r="T130" s="46"/>
      <c r="U130" s="36"/>
      <c r="V130" s="35"/>
      <c r="W130" s="38" t="str">
        <f t="shared" si="1"/>
        <v/>
      </c>
    </row>
    <row r="131" spans="1:23" x14ac:dyDescent="0.35">
      <c r="A131" s="46"/>
      <c r="B131" s="36"/>
      <c r="C131" s="35"/>
      <c r="D131" s="24"/>
      <c r="E131" s="35"/>
      <c r="F131" s="35"/>
      <c r="G131" s="36"/>
      <c r="H131" s="36"/>
      <c r="I131" s="36"/>
      <c r="J131" s="36"/>
      <c r="K131" s="36"/>
      <c r="L131" s="36"/>
      <c r="M131" s="36"/>
      <c r="N131" s="35"/>
      <c r="O131" s="35"/>
      <c r="P131" s="35"/>
      <c r="Q131" s="36"/>
      <c r="R131" s="36"/>
      <c r="S131" s="36"/>
      <c r="T131" s="46"/>
      <c r="U131" s="36"/>
      <c r="V131" s="35"/>
      <c r="W131" s="38" t="str">
        <f t="shared" si="1"/>
        <v/>
      </c>
    </row>
    <row r="132" spans="1:23" x14ac:dyDescent="0.35">
      <c r="A132" s="46"/>
      <c r="B132" s="36"/>
      <c r="C132" s="35"/>
      <c r="D132" s="24"/>
      <c r="E132" s="35"/>
      <c r="F132" s="35"/>
      <c r="G132" s="36"/>
      <c r="H132" s="36"/>
      <c r="I132" s="36"/>
      <c r="J132" s="36"/>
      <c r="K132" s="36"/>
      <c r="L132" s="36"/>
      <c r="M132" s="36"/>
      <c r="N132" s="35"/>
      <c r="O132" s="35"/>
      <c r="P132" s="35"/>
      <c r="Q132" s="36"/>
      <c r="R132" s="36"/>
      <c r="S132" s="36"/>
      <c r="T132" s="46"/>
      <c r="U132" s="36"/>
      <c r="V132" s="35"/>
      <c r="W132" s="38" t="str">
        <f t="shared" si="1"/>
        <v/>
      </c>
    </row>
    <row r="133" spans="1:23" x14ac:dyDescent="0.35">
      <c r="A133" s="46"/>
      <c r="B133" s="36"/>
      <c r="C133" s="35"/>
      <c r="D133" s="24"/>
      <c r="E133" s="35"/>
      <c r="F133" s="35"/>
      <c r="G133" s="36"/>
      <c r="H133" s="36"/>
      <c r="I133" s="36"/>
      <c r="J133" s="36"/>
      <c r="K133" s="36"/>
      <c r="L133" s="36"/>
      <c r="M133" s="36"/>
      <c r="N133" s="35"/>
      <c r="O133" s="35"/>
      <c r="P133" s="35"/>
      <c r="Q133" s="36"/>
      <c r="R133" s="36"/>
      <c r="S133" s="36"/>
      <c r="T133" s="46"/>
      <c r="U133" s="36"/>
      <c r="V133" s="35"/>
      <c r="W133" s="38" t="str">
        <f t="shared" si="1"/>
        <v/>
      </c>
    </row>
    <row r="134" spans="1:23" x14ac:dyDescent="0.35">
      <c r="A134" s="46"/>
      <c r="B134" s="36"/>
      <c r="C134" s="35"/>
      <c r="D134" s="24"/>
      <c r="E134" s="35"/>
      <c r="F134" s="35"/>
      <c r="G134" s="36"/>
      <c r="H134" s="36"/>
      <c r="I134" s="36"/>
      <c r="J134" s="36"/>
      <c r="K134" s="36"/>
      <c r="L134" s="36"/>
      <c r="M134" s="36"/>
      <c r="N134" s="35"/>
      <c r="O134" s="35"/>
      <c r="P134" s="35"/>
      <c r="Q134" s="36"/>
      <c r="R134" s="36"/>
      <c r="S134" s="36"/>
      <c r="T134" s="46"/>
      <c r="U134" s="36"/>
      <c r="V134" s="35"/>
      <c r="W134" s="38" t="str">
        <f t="shared" ref="W134:W197" si="2">IF(OR(A134="",C134=""),"",INT(A134)&amp;"|"&amp;C134)</f>
        <v/>
      </c>
    </row>
    <row r="135" spans="1:23" x14ac:dyDescent="0.35">
      <c r="A135" s="46"/>
      <c r="B135" s="36"/>
      <c r="C135" s="35"/>
      <c r="D135" s="24"/>
      <c r="E135" s="35"/>
      <c r="F135" s="35"/>
      <c r="G135" s="36"/>
      <c r="H135" s="36"/>
      <c r="I135" s="36"/>
      <c r="J135" s="36"/>
      <c r="K135" s="36"/>
      <c r="L135" s="36"/>
      <c r="M135" s="36"/>
      <c r="N135" s="35"/>
      <c r="O135" s="35"/>
      <c r="P135" s="35"/>
      <c r="Q135" s="36"/>
      <c r="R135" s="36"/>
      <c r="S135" s="36"/>
      <c r="T135" s="46"/>
      <c r="U135" s="36"/>
      <c r="V135" s="35"/>
      <c r="W135" s="38" t="str">
        <f t="shared" si="2"/>
        <v/>
      </c>
    </row>
    <row r="136" spans="1:23" x14ac:dyDescent="0.35">
      <c r="A136" s="46"/>
      <c r="B136" s="36"/>
      <c r="C136" s="35"/>
      <c r="D136" s="24"/>
      <c r="E136" s="35"/>
      <c r="F136" s="35"/>
      <c r="G136" s="36"/>
      <c r="H136" s="36"/>
      <c r="I136" s="36"/>
      <c r="J136" s="36"/>
      <c r="K136" s="36"/>
      <c r="L136" s="36"/>
      <c r="M136" s="36"/>
      <c r="N136" s="35"/>
      <c r="O136" s="35"/>
      <c r="P136" s="35"/>
      <c r="Q136" s="36"/>
      <c r="R136" s="36"/>
      <c r="S136" s="36"/>
      <c r="T136" s="46"/>
      <c r="U136" s="36"/>
      <c r="V136" s="35"/>
      <c r="W136" s="38" t="str">
        <f t="shared" si="2"/>
        <v/>
      </c>
    </row>
    <row r="137" spans="1:23" x14ac:dyDescent="0.35">
      <c r="A137" s="46"/>
      <c r="B137" s="36"/>
      <c r="C137" s="35"/>
      <c r="D137" s="24"/>
      <c r="E137" s="35"/>
      <c r="F137" s="35"/>
      <c r="G137" s="36"/>
      <c r="H137" s="36"/>
      <c r="I137" s="36"/>
      <c r="J137" s="36"/>
      <c r="K137" s="36"/>
      <c r="L137" s="36"/>
      <c r="M137" s="36"/>
      <c r="N137" s="35"/>
      <c r="O137" s="35"/>
      <c r="P137" s="35"/>
      <c r="Q137" s="36"/>
      <c r="R137" s="36"/>
      <c r="S137" s="36"/>
      <c r="T137" s="46"/>
      <c r="U137" s="36"/>
      <c r="V137" s="35"/>
      <c r="W137" s="38" t="str">
        <f t="shared" si="2"/>
        <v/>
      </c>
    </row>
    <row r="138" spans="1:23" x14ac:dyDescent="0.35">
      <c r="A138" s="46"/>
      <c r="B138" s="36"/>
      <c r="C138" s="35"/>
      <c r="D138" s="24"/>
      <c r="E138" s="35"/>
      <c r="F138" s="35"/>
      <c r="G138" s="36"/>
      <c r="H138" s="36"/>
      <c r="I138" s="36"/>
      <c r="J138" s="36"/>
      <c r="K138" s="36"/>
      <c r="L138" s="36"/>
      <c r="M138" s="36"/>
      <c r="N138" s="35"/>
      <c r="O138" s="35"/>
      <c r="P138" s="35"/>
      <c r="Q138" s="36"/>
      <c r="R138" s="36"/>
      <c r="S138" s="36"/>
      <c r="T138" s="46"/>
      <c r="U138" s="36"/>
      <c r="V138" s="35"/>
      <c r="W138" s="38" t="str">
        <f t="shared" si="2"/>
        <v/>
      </c>
    </row>
    <row r="139" spans="1:23" x14ac:dyDescent="0.35">
      <c r="A139" s="46"/>
      <c r="B139" s="36"/>
      <c r="C139" s="35"/>
      <c r="D139" s="24"/>
      <c r="E139" s="35"/>
      <c r="F139" s="35"/>
      <c r="G139" s="36"/>
      <c r="H139" s="36"/>
      <c r="I139" s="36"/>
      <c r="J139" s="36"/>
      <c r="K139" s="36"/>
      <c r="L139" s="36"/>
      <c r="M139" s="36"/>
      <c r="N139" s="35"/>
      <c r="O139" s="35"/>
      <c r="P139" s="35"/>
      <c r="Q139" s="36"/>
      <c r="R139" s="36"/>
      <c r="S139" s="36"/>
      <c r="T139" s="46"/>
      <c r="U139" s="36"/>
      <c r="V139" s="35"/>
      <c r="W139" s="38" t="str">
        <f t="shared" si="2"/>
        <v/>
      </c>
    </row>
    <row r="140" spans="1:23" x14ac:dyDescent="0.35">
      <c r="A140" s="46"/>
      <c r="B140" s="36"/>
      <c r="C140" s="35"/>
      <c r="D140" s="24"/>
      <c r="E140" s="35"/>
      <c r="F140" s="35"/>
      <c r="G140" s="36"/>
      <c r="H140" s="36"/>
      <c r="I140" s="36"/>
      <c r="J140" s="36"/>
      <c r="K140" s="36"/>
      <c r="L140" s="36"/>
      <c r="M140" s="36"/>
      <c r="N140" s="35"/>
      <c r="O140" s="35"/>
      <c r="P140" s="35"/>
      <c r="Q140" s="36"/>
      <c r="R140" s="36"/>
      <c r="S140" s="36"/>
      <c r="T140" s="46"/>
      <c r="U140" s="36"/>
      <c r="V140" s="35"/>
      <c r="W140" s="38" t="str">
        <f t="shared" si="2"/>
        <v/>
      </c>
    </row>
    <row r="141" spans="1:23" x14ac:dyDescent="0.35">
      <c r="A141" s="46"/>
      <c r="B141" s="36"/>
      <c r="C141" s="35"/>
      <c r="D141" s="24"/>
      <c r="E141" s="35"/>
      <c r="F141" s="35"/>
      <c r="G141" s="36"/>
      <c r="H141" s="36"/>
      <c r="I141" s="36"/>
      <c r="J141" s="36"/>
      <c r="K141" s="36"/>
      <c r="L141" s="36"/>
      <c r="M141" s="36"/>
      <c r="N141" s="35"/>
      <c r="O141" s="35"/>
      <c r="P141" s="35"/>
      <c r="Q141" s="36"/>
      <c r="R141" s="36"/>
      <c r="S141" s="36"/>
      <c r="T141" s="46"/>
      <c r="U141" s="36"/>
      <c r="V141" s="35"/>
      <c r="W141" s="38" t="str">
        <f t="shared" si="2"/>
        <v/>
      </c>
    </row>
    <row r="142" spans="1:23" x14ac:dyDescent="0.35">
      <c r="A142" s="46"/>
      <c r="B142" s="36"/>
      <c r="C142" s="35"/>
      <c r="D142" s="24"/>
      <c r="E142" s="35"/>
      <c r="F142" s="35"/>
      <c r="G142" s="36"/>
      <c r="H142" s="36"/>
      <c r="I142" s="36"/>
      <c r="J142" s="36"/>
      <c r="K142" s="36"/>
      <c r="L142" s="36"/>
      <c r="M142" s="36"/>
      <c r="N142" s="35"/>
      <c r="O142" s="35"/>
      <c r="P142" s="35"/>
      <c r="Q142" s="36"/>
      <c r="R142" s="36"/>
      <c r="S142" s="36"/>
      <c r="T142" s="46"/>
      <c r="U142" s="36"/>
      <c r="V142" s="35"/>
      <c r="W142" s="38" t="str">
        <f t="shared" si="2"/>
        <v/>
      </c>
    </row>
    <row r="143" spans="1:23" x14ac:dyDescent="0.35">
      <c r="A143" s="46"/>
      <c r="B143" s="36"/>
      <c r="C143" s="35"/>
      <c r="D143" s="24"/>
      <c r="E143" s="35"/>
      <c r="F143" s="35"/>
      <c r="G143" s="36"/>
      <c r="H143" s="36"/>
      <c r="I143" s="36"/>
      <c r="J143" s="36"/>
      <c r="K143" s="36"/>
      <c r="L143" s="36"/>
      <c r="M143" s="36"/>
      <c r="N143" s="35"/>
      <c r="O143" s="35"/>
      <c r="P143" s="35"/>
      <c r="Q143" s="36"/>
      <c r="R143" s="36"/>
      <c r="S143" s="36"/>
      <c r="T143" s="46"/>
      <c r="U143" s="36"/>
      <c r="V143" s="35"/>
      <c r="W143" s="38" t="str">
        <f t="shared" si="2"/>
        <v/>
      </c>
    </row>
    <row r="144" spans="1:23" x14ac:dyDescent="0.35">
      <c r="A144" s="46"/>
      <c r="B144" s="36"/>
      <c r="C144" s="35"/>
      <c r="D144" s="24"/>
      <c r="E144" s="35"/>
      <c r="F144" s="35"/>
      <c r="G144" s="36"/>
      <c r="H144" s="36"/>
      <c r="I144" s="36"/>
      <c r="J144" s="36"/>
      <c r="K144" s="36"/>
      <c r="L144" s="36"/>
      <c r="M144" s="36"/>
      <c r="N144" s="35"/>
      <c r="O144" s="35"/>
      <c r="P144" s="35"/>
      <c r="Q144" s="36"/>
      <c r="R144" s="36"/>
      <c r="S144" s="36"/>
      <c r="T144" s="46"/>
      <c r="U144" s="36"/>
      <c r="V144" s="35"/>
      <c r="W144" s="38" t="str">
        <f t="shared" si="2"/>
        <v/>
      </c>
    </row>
    <row r="145" spans="1:23" x14ac:dyDescent="0.35">
      <c r="A145" s="46"/>
      <c r="B145" s="36"/>
      <c r="C145" s="35"/>
      <c r="D145" s="24"/>
      <c r="E145" s="35"/>
      <c r="F145" s="35"/>
      <c r="G145" s="36"/>
      <c r="H145" s="36"/>
      <c r="I145" s="36"/>
      <c r="J145" s="36"/>
      <c r="K145" s="36"/>
      <c r="L145" s="36"/>
      <c r="M145" s="36"/>
      <c r="N145" s="35"/>
      <c r="O145" s="35"/>
      <c r="P145" s="35"/>
      <c r="Q145" s="36"/>
      <c r="R145" s="36"/>
      <c r="S145" s="36"/>
      <c r="T145" s="46"/>
      <c r="U145" s="36"/>
      <c r="V145" s="35"/>
      <c r="W145" s="38" t="str">
        <f t="shared" si="2"/>
        <v/>
      </c>
    </row>
    <row r="146" spans="1:23" x14ac:dyDescent="0.35">
      <c r="A146" s="46"/>
      <c r="B146" s="36"/>
      <c r="C146" s="35"/>
      <c r="D146" s="24"/>
      <c r="E146" s="35"/>
      <c r="F146" s="35"/>
      <c r="G146" s="36"/>
      <c r="H146" s="36"/>
      <c r="I146" s="36"/>
      <c r="J146" s="36"/>
      <c r="K146" s="36"/>
      <c r="L146" s="36"/>
      <c r="M146" s="36"/>
      <c r="N146" s="35"/>
      <c r="O146" s="35"/>
      <c r="P146" s="35"/>
      <c r="Q146" s="36"/>
      <c r="R146" s="36"/>
      <c r="S146" s="36"/>
      <c r="T146" s="46"/>
      <c r="U146" s="36"/>
      <c r="V146" s="35"/>
      <c r="W146" s="38" t="str">
        <f t="shared" si="2"/>
        <v/>
      </c>
    </row>
    <row r="147" spans="1:23" x14ac:dyDescent="0.35">
      <c r="A147" s="46"/>
      <c r="B147" s="36"/>
      <c r="C147" s="35"/>
      <c r="D147" s="24"/>
      <c r="E147" s="35"/>
      <c r="F147" s="35"/>
      <c r="G147" s="36"/>
      <c r="H147" s="36"/>
      <c r="I147" s="36"/>
      <c r="J147" s="36"/>
      <c r="K147" s="36"/>
      <c r="L147" s="36"/>
      <c r="M147" s="36"/>
      <c r="N147" s="35"/>
      <c r="O147" s="35"/>
      <c r="P147" s="35"/>
      <c r="Q147" s="36"/>
      <c r="R147" s="36"/>
      <c r="S147" s="36"/>
      <c r="T147" s="46"/>
      <c r="U147" s="36"/>
      <c r="V147" s="35"/>
      <c r="W147" s="38" t="str">
        <f t="shared" si="2"/>
        <v/>
      </c>
    </row>
    <row r="148" spans="1:23" x14ac:dyDescent="0.35">
      <c r="A148" s="46"/>
      <c r="B148" s="36"/>
      <c r="C148" s="35"/>
      <c r="D148" s="24"/>
      <c r="E148" s="35"/>
      <c r="F148" s="35"/>
      <c r="G148" s="36"/>
      <c r="H148" s="36"/>
      <c r="I148" s="36"/>
      <c r="J148" s="36"/>
      <c r="K148" s="36"/>
      <c r="L148" s="36"/>
      <c r="M148" s="36"/>
      <c r="N148" s="35"/>
      <c r="O148" s="35"/>
      <c r="P148" s="35"/>
      <c r="Q148" s="36"/>
      <c r="R148" s="36"/>
      <c r="S148" s="36"/>
      <c r="T148" s="46"/>
      <c r="U148" s="36"/>
      <c r="V148" s="35"/>
      <c r="W148" s="38" t="str">
        <f t="shared" si="2"/>
        <v/>
      </c>
    </row>
    <row r="149" spans="1:23" x14ac:dyDescent="0.35">
      <c r="A149" s="46"/>
      <c r="B149" s="36"/>
      <c r="C149" s="35"/>
      <c r="D149" s="24"/>
      <c r="E149" s="35"/>
      <c r="F149" s="35"/>
      <c r="G149" s="36"/>
      <c r="H149" s="36"/>
      <c r="I149" s="36"/>
      <c r="J149" s="36"/>
      <c r="K149" s="36"/>
      <c r="L149" s="36"/>
      <c r="M149" s="36"/>
      <c r="N149" s="35"/>
      <c r="O149" s="35"/>
      <c r="P149" s="35"/>
      <c r="Q149" s="36"/>
      <c r="R149" s="36"/>
      <c r="S149" s="36"/>
      <c r="T149" s="46"/>
      <c r="U149" s="36"/>
      <c r="V149" s="35"/>
      <c r="W149" s="38" t="str">
        <f t="shared" si="2"/>
        <v/>
      </c>
    </row>
    <row r="150" spans="1:23" x14ac:dyDescent="0.35">
      <c r="A150" s="46"/>
      <c r="B150" s="36"/>
      <c r="C150" s="35"/>
      <c r="D150" s="24"/>
      <c r="E150" s="35"/>
      <c r="F150" s="35"/>
      <c r="G150" s="36"/>
      <c r="H150" s="36"/>
      <c r="I150" s="36"/>
      <c r="J150" s="36"/>
      <c r="K150" s="36"/>
      <c r="L150" s="36"/>
      <c r="M150" s="36"/>
      <c r="N150" s="35"/>
      <c r="O150" s="35"/>
      <c r="P150" s="35"/>
      <c r="Q150" s="36"/>
      <c r="R150" s="36"/>
      <c r="S150" s="36"/>
      <c r="T150" s="46"/>
      <c r="U150" s="36"/>
      <c r="V150" s="35"/>
      <c r="W150" s="38" t="str">
        <f t="shared" si="2"/>
        <v/>
      </c>
    </row>
    <row r="151" spans="1:23" x14ac:dyDescent="0.35">
      <c r="A151" s="46"/>
      <c r="B151" s="36"/>
      <c r="C151" s="35"/>
      <c r="D151" s="24"/>
      <c r="E151" s="35"/>
      <c r="F151" s="35"/>
      <c r="G151" s="36"/>
      <c r="H151" s="36"/>
      <c r="I151" s="36"/>
      <c r="J151" s="36"/>
      <c r="K151" s="36"/>
      <c r="L151" s="36"/>
      <c r="M151" s="36"/>
      <c r="N151" s="35"/>
      <c r="O151" s="35"/>
      <c r="P151" s="35"/>
      <c r="Q151" s="36"/>
      <c r="R151" s="36"/>
      <c r="S151" s="36"/>
      <c r="T151" s="46"/>
      <c r="U151" s="36"/>
      <c r="V151" s="35"/>
      <c r="W151" s="38" t="str">
        <f t="shared" si="2"/>
        <v/>
      </c>
    </row>
    <row r="152" spans="1:23" x14ac:dyDescent="0.35">
      <c r="A152" s="46"/>
      <c r="B152" s="36"/>
      <c r="C152" s="35"/>
      <c r="D152" s="24"/>
      <c r="E152" s="35"/>
      <c r="F152" s="35"/>
      <c r="G152" s="36"/>
      <c r="H152" s="36"/>
      <c r="I152" s="36"/>
      <c r="J152" s="36"/>
      <c r="K152" s="36"/>
      <c r="L152" s="36"/>
      <c r="M152" s="36"/>
      <c r="N152" s="35"/>
      <c r="O152" s="35"/>
      <c r="P152" s="35"/>
      <c r="Q152" s="36"/>
      <c r="R152" s="36"/>
      <c r="S152" s="36"/>
      <c r="T152" s="46"/>
      <c r="U152" s="36"/>
      <c r="V152" s="35"/>
      <c r="W152" s="38" t="str">
        <f t="shared" si="2"/>
        <v/>
      </c>
    </row>
    <row r="153" spans="1:23" x14ac:dyDescent="0.35">
      <c r="A153" s="46"/>
      <c r="B153" s="36"/>
      <c r="C153" s="35"/>
      <c r="D153" s="24"/>
      <c r="E153" s="35"/>
      <c r="F153" s="35"/>
      <c r="G153" s="36"/>
      <c r="H153" s="36"/>
      <c r="I153" s="36"/>
      <c r="J153" s="36"/>
      <c r="K153" s="36"/>
      <c r="L153" s="36"/>
      <c r="M153" s="36"/>
      <c r="N153" s="35"/>
      <c r="O153" s="35"/>
      <c r="P153" s="35"/>
      <c r="Q153" s="36"/>
      <c r="R153" s="36"/>
      <c r="S153" s="36"/>
      <c r="T153" s="46"/>
      <c r="U153" s="36"/>
      <c r="V153" s="35"/>
      <c r="W153" s="38" t="str">
        <f t="shared" si="2"/>
        <v/>
      </c>
    </row>
    <row r="154" spans="1:23" x14ac:dyDescent="0.35">
      <c r="A154" s="46"/>
      <c r="B154" s="36"/>
      <c r="C154" s="35"/>
      <c r="D154" s="24"/>
      <c r="E154" s="35"/>
      <c r="F154" s="35"/>
      <c r="G154" s="36"/>
      <c r="H154" s="36"/>
      <c r="I154" s="36"/>
      <c r="J154" s="36"/>
      <c r="K154" s="36"/>
      <c r="L154" s="36"/>
      <c r="M154" s="36"/>
      <c r="N154" s="35"/>
      <c r="O154" s="35"/>
      <c r="P154" s="35"/>
      <c r="Q154" s="36"/>
      <c r="R154" s="36"/>
      <c r="S154" s="36"/>
      <c r="T154" s="46"/>
      <c r="U154" s="36"/>
      <c r="V154" s="35"/>
      <c r="W154" s="38" t="str">
        <f t="shared" si="2"/>
        <v/>
      </c>
    </row>
    <row r="155" spans="1:23" x14ac:dyDescent="0.35">
      <c r="A155" s="46"/>
      <c r="B155" s="36"/>
      <c r="C155" s="35"/>
      <c r="D155" s="24"/>
      <c r="E155" s="35"/>
      <c r="F155" s="35"/>
      <c r="G155" s="36"/>
      <c r="H155" s="36"/>
      <c r="I155" s="36"/>
      <c r="J155" s="36"/>
      <c r="K155" s="36"/>
      <c r="L155" s="36"/>
      <c r="M155" s="36"/>
      <c r="N155" s="35"/>
      <c r="O155" s="35"/>
      <c r="P155" s="35"/>
      <c r="Q155" s="36"/>
      <c r="R155" s="36"/>
      <c r="S155" s="36"/>
      <c r="T155" s="46"/>
      <c r="U155" s="36"/>
      <c r="V155" s="35"/>
      <c r="W155" s="38" t="str">
        <f t="shared" si="2"/>
        <v/>
      </c>
    </row>
    <row r="156" spans="1:23" x14ac:dyDescent="0.35">
      <c r="A156" s="46"/>
      <c r="B156" s="36"/>
      <c r="C156" s="35"/>
      <c r="D156" s="24"/>
      <c r="E156" s="35"/>
      <c r="F156" s="35"/>
      <c r="G156" s="36"/>
      <c r="H156" s="36"/>
      <c r="I156" s="36"/>
      <c r="J156" s="36"/>
      <c r="K156" s="36"/>
      <c r="L156" s="36"/>
      <c r="M156" s="36"/>
      <c r="N156" s="35"/>
      <c r="O156" s="35"/>
      <c r="P156" s="35"/>
      <c r="Q156" s="36"/>
      <c r="R156" s="36"/>
      <c r="S156" s="36"/>
      <c r="T156" s="46"/>
      <c r="U156" s="36"/>
      <c r="V156" s="35"/>
      <c r="W156" s="38" t="str">
        <f t="shared" si="2"/>
        <v/>
      </c>
    </row>
    <row r="157" spans="1:23" x14ac:dyDescent="0.35">
      <c r="A157" s="46"/>
      <c r="B157" s="36"/>
      <c r="C157" s="35"/>
      <c r="D157" s="24"/>
      <c r="E157" s="35"/>
      <c r="F157" s="35"/>
      <c r="G157" s="36"/>
      <c r="H157" s="36"/>
      <c r="I157" s="36"/>
      <c r="J157" s="36"/>
      <c r="K157" s="36"/>
      <c r="L157" s="36"/>
      <c r="M157" s="36"/>
      <c r="N157" s="35"/>
      <c r="O157" s="35"/>
      <c r="P157" s="35"/>
      <c r="Q157" s="36"/>
      <c r="R157" s="36"/>
      <c r="S157" s="36"/>
      <c r="T157" s="46"/>
      <c r="U157" s="36"/>
      <c r="V157" s="35"/>
      <c r="W157" s="38" t="str">
        <f t="shared" si="2"/>
        <v/>
      </c>
    </row>
    <row r="158" spans="1:23" x14ac:dyDescent="0.35">
      <c r="A158" s="46"/>
      <c r="B158" s="36"/>
      <c r="C158" s="35"/>
      <c r="D158" s="24"/>
      <c r="E158" s="35"/>
      <c r="F158" s="35"/>
      <c r="G158" s="36"/>
      <c r="H158" s="36"/>
      <c r="I158" s="36"/>
      <c r="J158" s="36"/>
      <c r="K158" s="36"/>
      <c r="L158" s="36"/>
      <c r="M158" s="36"/>
      <c r="N158" s="35"/>
      <c r="O158" s="35"/>
      <c r="P158" s="35"/>
      <c r="Q158" s="36"/>
      <c r="R158" s="36"/>
      <c r="S158" s="36"/>
      <c r="T158" s="46"/>
      <c r="U158" s="36"/>
      <c r="V158" s="35"/>
      <c r="W158" s="38" t="str">
        <f t="shared" si="2"/>
        <v/>
      </c>
    </row>
    <row r="159" spans="1:23" x14ac:dyDescent="0.35">
      <c r="A159" s="46"/>
      <c r="B159" s="36"/>
      <c r="C159" s="35"/>
      <c r="D159" s="24"/>
      <c r="E159" s="35"/>
      <c r="F159" s="35"/>
      <c r="G159" s="36"/>
      <c r="H159" s="36"/>
      <c r="I159" s="36"/>
      <c r="J159" s="36"/>
      <c r="K159" s="36"/>
      <c r="L159" s="36"/>
      <c r="M159" s="36"/>
      <c r="N159" s="35"/>
      <c r="O159" s="35"/>
      <c r="P159" s="35"/>
      <c r="Q159" s="36"/>
      <c r="R159" s="36"/>
      <c r="S159" s="36"/>
      <c r="T159" s="46"/>
      <c r="U159" s="36"/>
      <c r="V159" s="35"/>
      <c r="W159" s="38" t="str">
        <f t="shared" si="2"/>
        <v/>
      </c>
    </row>
    <row r="160" spans="1:23" x14ac:dyDescent="0.35">
      <c r="A160" s="46"/>
      <c r="B160" s="36"/>
      <c r="C160" s="35"/>
      <c r="D160" s="24"/>
      <c r="E160" s="35"/>
      <c r="F160" s="35"/>
      <c r="G160" s="36"/>
      <c r="H160" s="36"/>
      <c r="I160" s="36"/>
      <c r="J160" s="36"/>
      <c r="K160" s="36"/>
      <c r="L160" s="36"/>
      <c r="M160" s="36"/>
      <c r="N160" s="35"/>
      <c r="O160" s="35"/>
      <c r="P160" s="35"/>
      <c r="Q160" s="36"/>
      <c r="R160" s="36"/>
      <c r="S160" s="36"/>
      <c r="T160" s="46"/>
      <c r="U160" s="36"/>
      <c r="V160" s="35"/>
      <c r="W160" s="38" t="str">
        <f t="shared" si="2"/>
        <v/>
      </c>
    </row>
    <row r="161" spans="1:23" x14ac:dyDescent="0.35">
      <c r="A161" s="46"/>
      <c r="B161" s="36"/>
      <c r="C161" s="35"/>
      <c r="D161" s="24"/>
      <c r="E161" s="35"/>
      <c r="F161" s="35"/>
      <c r="G161" s="36"/>
      <c r="H161" s="36"/>
      <c r="I161" s="36"/>
      <c r="J161" s="36"/>
      <c r="K161" s="36"/>
      <c r="L161" s="36"/>
      <c r="M161" s="36"/>
      <c r="N161" s="35"/>
      <c r="O161" s="35"/>
      <c r="P161" s="35"/>
      <c r="Q161" s="36"/>
      <c r="R161" s="36"/>
      <c r="S161" s="36"/>
      <c r="T161" s="46"/>
      <c r="U161" s="36"/>
      <c r="V161" s="35"/>
      <c r="W161" s="38" t="str">
        <f t="shared" si="2"/>
        <v/>
      </c>
    </row>
    <row r="162" spans="1:23" x14ac:dyDescent="0.35">
      <c r="A162" s="46"/>
      <c r="B162" s="36"/>
      <c r="C162" s="35"/>
      <c r="D162" s="24"/>
      <c r="E162" s="35"/>
      <c r="F162" s="35"/>
      <c r="G162" s="36"/>
      <c r="H162" s="36"/>
      <c r="I162" s="36"/>
      <c r="J162" s="36"/>
      <c r="K162" s="36"/>
      <c r="L162" s="36"/>
      <c r="M162" s="36"/>
      <c r="N162" s="35"/>
      <c r="O162" s="35"/>
      <c r="P162" s="35"/>
      <c r="Q162" s="36"/>
      <c r="R162" s="36"/>
      <c r="S162" s="36"/>
      <c r="T162" s="46"/>
      <c r="U162" s="36"/>
      <c r="V162" s="35"/>
      <c r="W162" s="38" t="str">
        <f t="shared" si="2"/>
        <v/>
      </c>
    </row>
    <row r="163" spans="1:23" x14ac:dyDescent="0.35">
      <c r="A163" s="46"/>
      <c r="B163" s="36"/>
      <c r="C163" s="35"/>
      <c r="D163" s="24"/>
      <c r="E163" s="35"/>
      <c r="F163" s="35"/>
      <c r="G163" s="36"/>
      <c r="H163" s="36"/>
      <c r="I163" s="36"/>
      <c r="J163" s="36"/>
      <c r="K163" s="36"/>
      <c r="L163" s="36"/>
      <c r="M163" s="36"/>
      <c r="N163" s="35"/>
      <c r="O163" s="35"/>
      <c r="P163" s="35"/>
      <c r="Q163" s="36"/>
      <c r="R163" s="36"/>
      <c r="S163" s="36"/>
      <c r="T163" s="46"/>
      <c r="U163" s="36"/>
      <c r="V163" s="35"/>
      <c r="W163" s="38" t="str">
        <f t="shared" si="2"/>
        <v/>
      </c>
    </row>
    <row r="164" spans="1:23" x14ac:dyDescent="0.35">
      <c r="A164" s="46"/>
      <c r="B164" s="36"/>
      <c r="C164" s="35"/>
      <c r="D164" s="24"/>
      <c r="E164" s="35"/>
      <c r="F164" s="35"/>
      <c r="G164" s="36"/>
      <c r="H164" s="36"/>
      <c r="I164" s="36"/>
      <c r="J164" s="36"/>
      <c r="K164" s="36"/>
      <c r="L164" s="36"/>
      <c r="M164" s="36"/>
      <c r="N164" s="35"/>
      <c r="O164" s="35"/>
      <c r="P164" s="35"/>
      <c r="Q164" s="36"/>
      <c r="R164" s="36"/>
      <c r="S164" s="36"/>
      <c r="T164" s="46"/>
      <c r="U164" s="36"/>
      <c r="V164" s="35"/>
      <c r="W164" s="38" t="str">
        <f t="shared" si="2"/>
        <v/>
      </c>
    </row>
    <row r="165" spans="1:23" x14ac:dyDescent="0.35">
      <c r="A165" s="46"/>
      <c r="B165" s="36"/>
      <c r="C165" s="35"/>
      <c r="D165" s="24"/>
      <c r="E165" s="35"/>
      <c r="F165" s="35"/>
      <c r="G165" s="36"/>
      <c r="H165" s="36"/>
      <c r="I165" s="36"/>
      <c r="J165" s="36"/>
      <c r="K165" s="36"/>
      <c r="L165" s="36"/>
      <c r="M165" s="36"/>
      <c r="N165" s="35"/>
      <c r="O165" s="35"/>
      <c r="P165" s="35"/>
      <c r="Q165" s="36"/>
      <c r="R165" s="36"/>
      <c r="S165" s="36"/>
      <c r="T165" s="46"/>
      <c r="U165" s="36"/>
      <c r="V165" s="35"/>
      <c r="W165" s="38" t="str">
        <f t="shared" si="2"/>
        <v/>
      </c>
    </row>
    <row r="166" spans="1:23" x14ac:dyDescent="0.35">
      <c r="A166" s="46"/>
      <c r="B166" s="36"/>
      <c r="C166" s="35"/>
      <c r="D166" s="24"/>
      <c r="E166" s="35"/>
      <c r="F166" s="35"/>
      <c r="G166" s="36"/>
      <c r="H166" s="36"/>
      <c r="I166" s="36"/>
      <c r="J166" s="36"/>
      <c r="K166" s="36"/>
      <c r="L166" s="36"/>
      <c r="M166" s="36"/>
      <c r="N166" s="35"/>
      <c r="O166" s="35"/>
      <c r="P166" s="35"/>
      <c r="Q166" s="36"/>
      <c r="R166" s="36"/>
      <c r="S166" s="36"/>
      <c r="T166" s="46"/>
      <c r="U166" s="36"/>
      <c r="V166" s="35"/>
      <c r="W166" s="38" t="str">
        <f t="shared" si="2"/>
        <v/>
      </c>
    </row>
    <row r="167" spans="1:23" x14ac:dyDescent="0.35">
      <c r="A167" s="46"/>
      <c r="B167" s="36"/>
      <c r="C167" s="35"/>
      <c r="D167" s="24"/>
      <c r="E167" s="35"/>
      <c r="F167" s="35"/>
      <c r="G167" s="36"/>
      <c r="H167" s="36"/>
      <c r="I167" s="36"/>
      <c r="J167" s="36"/>
      <c r="K167" s="36"/>
      <c r="L167" s="36"/>
      <c r="M167" s="36"/>
      <c r="N167" s="35"/>
      <c r="O167" s="35"/>
      <c r="P167" s="35"/>
      <c r="Q167" s="36"/>
      <c r="R167" s="36"/>
      <c r="S167" s="36"/>
      <c r="T167" s="46"/>
      <c r="U167" s="36"/>
      <c r="V167" s="35"/>
      <c r="W167" s="38" t="str">
        <f t="shared" si="2"/>
        <v/>
      </c>
    </row>
    <row r="168" spans="1:23" x14ac:dyDescent="0.35">
      <c r="A168" s="46"/>
      <c r="B168" s="36"/>
      <c r="C168" s="35"/>
      <c r="D168" s="24"/>
      <c r="E168" s="35"/>
      <c r="F168" s="35"/>
      <c r="G168" s="36"/>
      <c r="H168" s="36"/>
      <c r="I168" s="36"/>
      <c r="J168" s="36"/>
      <c r="K168" s="36"/>
      <c r="L168" s="36"/>
      <c r="M168" s="36"/>
      <c r="N168" s="35"/>
      <c r="O168" s="35"/>
      <c r="P168" s="35"/>
      <c r="Q168" s="36"/>
      <c r="R168" s="36"/>
      <c r="S168" s="36"/>
      <c r="T168" s="46"/>
      <c r="U168" s="36"/>
      <c r="V168" s="35"/>
      <c r="W168" s="38" t="str">
        <f t="shared" si="2"/>
        <v/>
      </c>
    </row>
    <row r="169" spans="1:23" x14ac:dyDescent="0.35">
      <c r="A169" s="46"/>
      <c r="B169" s="36"/>
      <c r="C169" s="35"/>
      <c r="D169" s="24"/>
      <c r="E169" s="35"/>
      <c r="F169" s="35"/>
      <c r="G169" s="36"/>
      <c r="H169" s="36"/>
      <c r="I169" s="36"/>
      <c r="J169" s="36"/>
      <c r="K169" s="36"/>
      <c r="L169" s="36"/>
      <c r="M169" s="36"/>
      <c r="N169" s="35"/>
      <c r="O169" s="35"/>
      <c r="P169" s="35"/>
      <c r="Q169" s="36"/>
      <c r="R169" s="36"/>
      <c r="S169" s="36"/>
      <c r="T169" s="46"/>
      <c r="U169" s="36"/>
      <c r="V169" s="35"/>
      <c r="W169" s="38" t="str">
        <f t="shared" si="2"/>
        <v/>
      </c>
    </row>
    <row r="170" spans="1:23" x14ac:dyDescent="0.35">
      <c r="A170" s="46"/>
      <c r="B170" s="36"/>
      <c r="C170" s="35"/>
      <c r="D170" s="24"/>
      <c r="E170" s="35"/>
      <c r="F170" s="35"/>
      <c r="G170" s="36"/>
      <c r="H170" s="36"/>
      <c r="I170" s="36"/>
      <c r="J170" s="36"/>
      <c r="K170" s="36"/>
      <c r="L170" s="36"/>
      <c r="M170" s="36"/>
      <c r="N170" s="35"/>
      <c r="O170" s="35"/>
      <c r="P170" s="35"/>
      <c r="Q170" s="36"/>
      <c r="R170" s="36"/>
      <c r="S170" s="36"/>
      <c r="T170" s="46"/>
      <c r="U170" s="36"/>
      <c r="V170" s="35"/>
      <c r="W170" s="38" t="str">
        <f t="shared" si="2"/>
        <v/>
      </c>
    </row>
    <row r="171" spans="1:23" x14ac:dyDescent="0.35">
      <c r="A171" s="46"/>
      <c r="B171" s="36"/>
      <c r="C171" s="35"/>
      <c r="D171" s="24"/>
      <c r="E171" s="35"/>
      <c r="F171" s="35"/>
      <c r="G171" s="36"/>
      <c r="H171" s="36"/>
      <c r="I171" s="36"/>
      <c r="J171" s="36"/>
      <c r="K171" s="36"/>
      <c r="L171" s="36"/>
      <c r="M171" s="36"/>
      <c r="N171" s="35"/>
      <c r="O171" s="35"/>
      <c r="P171" s="35"/>
      <c r="Q171" s="36"/>
      <c r="R171" s="36"/>
      <c r="S171" s="36"/>
      <c r="T171" s="46"/>
      <c r="U171" s="36"/>
      <c r="V171" s="35"/>
      <c r="W171" s="38" t="str">
        <f t="shared" si="2"/>
        <v/>
      </c>
    </row>
    <row r="172" spans="1:23" x14ac:dyDescent="0.35">
      <c r="A172" s="46"/>
      <c r="B172" s="36"/>
      <c r="C172" s="35"/>
      <c r="D172" s="24"/>
      <c r="E172" s="35"/>
      <c r="F172" s="35"/>
      <c r="G172" s="36"/>
      <c r="H172" s="36"/>
      <c r="I172" s="36"/>
      <c r="J172" s="36"/>
      <c r="K172" s="36"/>
      <c r="L172" s="36"/>
      <c r="M172" s="36"/>
      <c r="N172" s="35"/>
      <c r="O172" s="35"/>
      <c r="P172" s="35"/>
      <c r="Q172" s="36"/>
      <c r="R172" s="36"/>
      <c r="S172" s="36"/>
      <c r="T172" s="46"/>
      <c r="U172" s="36"/>
      <c r="V172" s="35"/>
      <c r="W172" s="38" t="str">
        <f t="shared" si="2"/>
        <v/>
      </c>
    </row>
    <row r="173" spans="1:23" x14ac:dyDescent="0.35">
      <c r="A173" s="46"/>
      <c r="B173" s="36"/>
      <c r="C173" s="35"/>
      <c r="D173" s="24"/>
      <c r="E173" s="35"/>
      <c r="F173" s="35"/>
      <c r="G173" s="36"/>
      <c r="H173" s="36"/>
      <c r="I173" s="36"/>
      <c r="J173" s="36"/>
      <c r="K173" s="36"/>
      <c r="L173" s="36"/>
      <c r="M173" s="36"/>
      <c r="N173" s="35"/>
      <c r="O173" s="35"/>
      <c r="P173" s="35"/>
      <c r="Q173" s="36"/>
      <c r="R173" s="36"/>
      <c r="S173" s="36"/>
      <c r="T173" s="46"/>
      <c r="U173" s="36"/>
      <c r="V173" s="35"/>
      <c r="W173" s="38" t="str">
        <f t="shared" si="2"/>
        <v/>
      </c>
    </row>
    <row r="174" spans="1:23" x14ac:dyDescent="0.35">
      <c r="A174" s="46"/>
      <c r="B174" s="36"/>
      <c r="C174" s="35"/>
      <c r="D174" s="24"/>
      <c r="E174" s="35"/>
      <c r="F174" s="35"/>
      <c r="G174" s="36"/>
      <c r="H174" s="36"/>
      <c r="I174" s="36"/>
      <c r="J174" s="36"/>
      <c r="K174" s="36"/>
      <c r="L174" s="36"/>
      <c r="M174" s="36"/>
      <c r="N174" s="35"/>
      <c r="O174" s="35"/>
      <c r="P174" s="35"/>
      <c r="Q174" s="36"/>
      <c r="R174" s="36"/>
      <c r="S174" s="36"/>
      <c r="T174" s="46"/>
      <c r="U174" s="36"/>
      <c r="V174" s="35"/>
      <c r="W174" s="38" t="str">
        <f t="shared" si="2"/>
        <v/>
      </c>
    </row>
    <row r="175" spans="1:23" x14ac:dyDescent="0.35">
      <c r="A175" s="46"/>
      <c r="B175" s="36"/>
      <c r="C175" s="35"/>
      <c r="D175" s="24"/>
      <c r="E175" s="35"/>
      <c r="F175" s="35"/>
      <c r="G175" s="36"/>
      <c r="H175" s="36"/>
      <c r="I175" s="36"/>
      <c r="J175" s="36"/>
      <c r="K175" s="36"/>
      <c r="L175" s="36"/>
      <c r="M175" s="36"/>
      <c r="N175" s="35"/>
      <c r="O175" s="35"/>
      <c r="P175" s="35"/>
      <c r="Q175" s="36"/>
      <c r="R175" s="36"/>
      <c r="S175" s="36"/>
      <c r="T175" s="46"/>
      <c r="U175" s="36"/>
      <c r="V175" s="35"/>
      <c r="W175" s="38" t="str">
        <f t="shared" si="2"/>
        <v/>
      </c>
    </row>
    <row r="176" spans="1:23" x14ac:dyDescent="0.35">
      <c r="A176" s="46"/>
      <c r="B176" s="36"/>
      <c r="C176" s="35"/>
      <c r="D176" s="24"/>
      <c r="E176" s="35"/>
      <c r="F176" s="35"/>
      <c r="G176" s="36"/>
      <c r="H176" s="36"/>
      <c r="I176" s="36"/>
      <c r="J176" s="36"/>
      <c r="K176" s="36"/>
      <c r="L176" s="36"/>
      <c r="M176" s="36"/>
      <c r="N176" s="35"/>
      <c r="O176" s="35"/>
      <c r="P176" s="35"/>
      <c r="Q176" s="36"/>
      <c r="R176" s="36"/>
      <c r="S176" s="36"/>
      <c r="T176" s="46"/>
      <c r="U176" s="36"/>
      <c r="V176" s="35"/>
      <c r="W176" s="38" t="str">
        <f t="shared" si="2"/>
        <v/>
      </c>
    </row>
    <row r="177" spans="1:23" x14ac:dyDescent="0.35">
      <c r="A177" s="46"/>
      <c r="B177" s="36"/>
      <c r="C177" s="35"/>
      <c r="D177" s="24"/>
      <c r="E177" s="35"/>
      <c r="F177" s="35"/>
      <c r="G177" s="36"/>
      <c r="H177" s="36"/>
      <c r="I177" s="36"/>
      <c r="J177" s="36"/>
      <c r="K177" s="36"/>
      <c r="L177" s="36"/>
      <c r="M177" s="36"/>
      <c r="N177" s="35"/>
      <c r="O177" s="35"/>
      <c r="P177" s="35"/>
      <c r="Q177" s="36"/>
      <c r="R177" s="36"/>
      <c r="S177" s="36"/>
      <c r="T177" s="46"/>
      <c r="U177" s="36"/>
      <c r="V177" s="35"/>
      <c r="W177" s="38" t="str">
        <f t="shared" si="2"/>
        <v/>
      </c>
    </row>
    <row r="178" spans="1:23" x14ac:dyDescent="0.35">
      <c r="A178" s="46"/>
      <c r="B178" s="36"/>
      <c r="C178" s="35"/>
      <c r="D178" s="24"/>
      <c r="E178" s="35"/>
      <c r="F178" s="35"/>
      <c r="G178" s="36"/>
      <c r="H178" s="36"/>
      <c r="I178" s="36"/>
      <c r="J178" s="36"/>
      <c r="K178" s="36"/>
      <c r="L178" s="36"/>
      <c r="M178" s="36"/>
      <c r="N178" s="35"/>
      <c r="O178" s="35"/>
      <c r="P178" s="35"/>
      <c r="Q178" s="36"/>
      <c r="R178" s="36"/>
      <c r="S178" s="36"/>
      <c r="T178" s="46"/>
      <c r="U178" s="36"/>
      <c r="V178" s="35"/>
      <c r="W178" s="38" t="str">
        <f t="shared" si="2"/>
        <v/>
      </c>
    </row>
    <row r="179" spans="1:23" x14ac:dyDescent="0.35">
      <c r="A179" s="46"/>
      <c r="B179" s="36"/>
      <c r="C179" s="35"/>
      <c r="D179" s="24"/>
      <c r="E179" s="35"/>
      <c r="F179" s="35"/>
      <c r="G179" s="36"/>
      <c r="H179" s="36"/>
      <c r="I179" s="36"/>
      <c r="J179" s="36"/>
      <c r="K179" s="36"/>
      <c r="L179" s="36"/>
      <c r="M179" s="36"/>
      <c r="N179" s="35"/>
      <c r="O179" s="35"/>
      <c r="P179" s="35"/>
      <c r="Q179" s="36"/>
      <c r="R179" s="36"/>
      <c r="S179" s="36"/>
      <c r="T179" s="46"/>
      <c r="U179" s="36"/>
      <c r="V179" s="35"/>
      <c r="W179" s="38" t="str">
        <f t="shared" si="2"/>
        <v/>
      </c>
    </row>
    <row r="180" spans="1:23" x14ac:dyDescent="0.35">
      <c r="A180" s="46"/>
      <c r="B180" s="36"/>
      <c r="C180" s="35"/>
      <c r="D180" s="24"/>
      <c r="E180" s="35"/>
      <c r="F180" s="35"/>
      <c r="G180" s="36"/>
      <c r="H180" s="36"/>
      <c r="I180" s="36"/>
      <c r="J180" s="36"/>
      <c r="K180" s="36"/>
      <c r="L180" s="36"/>
      <c r="M180" s="36"/>
      <c r="N180" s="35"/>
      <c r="O180" s="35"/>
      <c r="P180" s="35"/>
      <c r="Q180" s="36"/>
      <c r="R180" s="36"/>
      <c r="S180" s="36"/>
      <c r="T180" s="46"/>
      <c r="U180" s="36"/>
      <c r="V180" s="35"/>
      <c r="W180" s="38" t="str">
        <f t="shared" si="2"/>
        <v/>
      </c>
    </row>
    <row r="181" spans="1:23" x14ac:dyDescent="0.35">
      <c r="A181" s="46"/>
      <c r="B181" s="36"/>
      <c r="C181" s="35"/>
      <c r="D181" s="24"/>
      <c r="E181" s="35"/>
      <c r="F181" s="35"/>
      <c r="G181" s="36"/>
      <c r="H181" s="36"/>
      <c r="I181" s="36"/>
      <c r="J181" s="36"/>
      <c r="K181" s="36"/>
      <c r="L181" s="36"/>
      <c r="M181" s="36"/>
      <c r="N181" s="35"/>
      <c r="O181" s="35"/>
      <c r="P181" s="35"/>
      <c r="Q181" s="36"/>
      <c r="R181" s="36"/>
      <c r="S181" s="36"/>
      <c r="T181" s="46"/>
      <c r="U181" s="36"/>
      <c r="V181" s="35"/>
      <c r="W181" s="38" t="str">
        <f t="shared" si="2"/>
        <v/>
      </c>
    </row>
    <row r="182" spans="1:23" x14ac:dyDescent="0.35">
      <c r="A182" s="46"/>
      <c r="B182" s="36"/>
      <c r="C182" s="35"/>
      <c r="D182" s="24"/>
      <c r="E182" s="35"/>
      <c r="F182" s="35"/>
      <c r="G182" s="36"/>
      <c r="H182" s="36"/>
      <c r="I182" s="36"/>
      <c r="J182" s="36"/>
      <c r="K182" s="36"/>
      <c r="L182" s="36"/>
      <c r="M182" s="36"/>
      <c r="N182" s="35"/>
      <c r="O182" s="35"/>
      <c r="P182" s="35"/>
      <c r="Q182" s="36"/>
      <c r="R182" s="36"/>
      <c r="S182" s="36"/>
      <c r="T182" s="46"/>
      <c r="U182" s="36"/>
      <c r="V182" s="35"/>
      <c r="W182" s="38" t="str">
        <f t="shared" si="2"/>
        <v/>
      </c>
    </row>
    <row r="183" spans="1:23" x14ac:dyDescent="0.35">
      <c r="A183" s="46"/>
      <c r="B183" s="36"/>
      <c r="C183" s="35"/>
      <c r="D183" s="24"/>
      <c r="E183" s="35"/>
      <c r="F183" s="35"/>
      <c r="G183" s="36"/>
      <c r="H183" s="36"/>
      <c r="I183" s="36"/>
      <c r="J183" s="36"/>
      <c r="K183" s="36"/>
      <c r="L183" s="36"/>
      <c r="M183" s="36"/>
      <c r="N183" s="35"/>
      <c r="O183" s="35"/>
      <c r="P183" s="35"/>
      <c r="Q183" s="36"/>
      <c r="R183" s="36"/>
      <c r="S183" s="36"/>
      <c r="T183" s="46"/>
      <c r="U183" s="36"/>
      <c r="V183" s="35"/>
      <c r="W183" s="38" t="str">
        <f t="shared" si="2"/>
        <v/>
      </c>
    </row>
    <row r="184" spans="1:23" x14ac:dyDescent="0.35">
      <c r="A184" s="46"/>
      <c r="B184" s="36"/>
      <c r="C184" s="35"/>
      <c r="D184" s="24"/>
      <c r="E184" s="35"/>
      <c r="F184" s="35"/>
      <c r="G184" s="36"/>
      <c r="H184" s="36"/>
      <c r="I184" s="36"/>
      <c r="J184" s="36"/>
      <c r="K184" s="36"/>
      <c r="L184" s="36"/>
      <c r="M184" s="36"/>
      <c r="N184" s="35"/>
      <c r="O184" s="35"/>
      <c r="P184" s="35"/>
      <c r="Q184" s="36"/>
      <c r="R184" s="36"/>
      <c r="S184" s="36"/>
      <c r="T184" s="46"/>
      <c r="U184" s="36"/>
      <c r="V184" s="35"/>
      <c r="W184" s="38" t="str">
        <f t="shared" si="2"/>
        <v/>
      </c>
    </row>
    <row r="185" spans="1:23" x14ac:dyDescent="0.35">
      <c r="A185" s="46"/>
      <c r="B185" s="36"/>
      <c r="C185" s="35"/>
      <c r="D185" s="24"/>
      <c r="E185" s="35"/>
      <c r="F185" s="35"/>
      <c r="G185" s="36"/>
      <c r="H185" s="36"/>
      <c r="I185" s="36"/>
      <c r="J185" s="36"/>
      <c r="K185" s="36"/>
      <c r="L185" s="36"/>
      <c r="M185" s="36"/>
      <c r="N185" s="35"/>
      <c r="O185" s="35"/>
      <c r="P185" s="35"/>
      <c r="Q185" s="36"/>
      <c r="R185" s="36"/>
      <c r="S185" s="36"/>
      <c r="T185" s="46"/>
      <c r="U185" s="36"/>
      <c r="V185" s="35"/>
      <c r="W185" s="38" t="str">
        <f t="shared" si="2"/>
        <v/>
      </c>
    </row>
    <row r="186" spans="1:23" x14ac:dyDescent="0.35">
      <c r="A186" s="46"/>
      <c r="B186" s="36"/>
      <c r="C186" s="35"/>
      <c r="D186" s="24"/>
      <c r="E186" s="35"/>
      <c r="F186" s="35"/>
      <c r="G186" s="36"/>
      <c r="H186" s="36"/>
      <c r="I186" s="36"/>
      <c r="J186" s="36"/>
      <c r="K186" s="36"/>
      <c r="L186" s="36"/>
      <c r="M186" s="36"/>
      <c r="N186" s="35"/>
      <c r="O186" s="35"/>
      <c r="P186" s="35"/>
      <c r="Q186" s="36"/>
      <c r="R186" s="36"/>
      <c r="S186" s="36"/>
      <c r="T186" s="46"/>
      <c r="U186" s="36"/>
      <c r="V186" s="35"/>
      <c r="W186" s="38" t="str">
        <f t="shared" si="2"/>
        <v/>
      </c>
    </row>
    <row r="187" spans="1:23" x14ac:dyDescent="0.35">
      <c r="A187" s="46"/>
      <c r="B187" s="36"/>
      <c r="C187" s="35"/>
      <c r="D187" s="24"/>
      <c r="E187" s="35"/>
      <c r="F187" s="35"/>
      <c r="G187" s="36"/>
      <c r="H187" s="36"/>
      <c r="I187" s="36"/>
      <c r="J187" s="36"/>
      <c r="K187" s="36"/>
      <c r="L187" s="36"/>
      <c r="M187" s="36"/>
      <c r="N187" s="35"/>
      <c r="O187" s="35"/>
      <c r="P187" s="35"/>
      <c r="Q187" s="36"/>
      <c r="R187" s="36"/>
      <c r="S187" s="36"/>
      <c r="T187" s="46"/>
      <c r="U187" s="36"/>
      <c r="V187" s="35"/>
      <c r="W187" s="38" t="str">
        <f t="shared" si="2"/>
        <v/>
      </c>
    </row>
    <row r="188" spans="1:23" x14ac:dyDescent="0.35">
      <c r="A188" s="46"/>
      <c r="B188" s="36"/>
      <c r="C188" s="35"/>
      <c r="D188" s="24"/>
      <c r="E188" s="35"/>
      <c r="F188" s="35"/>
      <c r="G188" s="36"/>
      <c r="H188" s="36"/>
      <c r="I188" s="36"/>
      <c r="J188" s="36"/>
      <c r="K188" s="36"/>
      <c r="L188" s="36"/>
      <c r="M188" s="36"/>
      <c r="N188" s="35"/>
      <c r="O188" s="35"/>
      <c r="P188" s="35"/>
      <c r="Q188" s="36"/>
      <c r="R188" s="36"/>
      <c r="S188" s="36"/>
      <c r="T188" s="46"/>
      <c r="U188" s="36"/>
      <c r="V188" s="35"/>
      <c r="W188" s="38" t="str">
        <f t="shared" si="2"/>
        <v/>
      </c>
    </row>
    <row r="189" spans="1:23" x14ac:dyDescent="0.35">
      <c r="A189" s="46"/>
      <c r="B189" s="36"/>
      <c r="C189" s="35"/>
      <c r="D189" s="24"/>
      <c r="E189" s="35"/>
      <c r="F189" s="35"/>
      <c r="G189" s="36"/>
      <c r="H189" s="36"/>
      <c r="I189" s="36"/>
      <c r="J189" s="36"/>
      <c r="K189" s="36"/>
      <c r="L189" s="36"/>
      <c r="M189" s="36"/>
      <c r="N189" s="35"/>
      <c r="O189" s="35"/>
      <c r="P189" s="35"/>
      <c r="Q189" s="36"/>
      <c r="R189" s="36"/>
      <c r="S189" s="36"/>
      <c r="T189" s="46"/>
      <c r="U189" s="36"/>
      <c r="V189" s="35"/>
      <c r="W189" s="38" t="str">
        <f t="shared" si="2"/>
        <v/>
      </c>
    </row>
    <row r="190" spans="1:23" x14ac:dyDescent="0.35">
      <c r="A190" s="46"/>
      <c r="B190" s="36"/>
      <c r="C190" s="35"/>
      <c r="D190" s="24"/>
      <c r="E190" s="35"/>
      <c r="F190" s="35"/>
      <c r="G190" s="36"/>
      <c r="H190" s="36"/>
      <c r="I190" s="36"/>
      <c r="J190" s="36"/>
      <c r="K190" s="36"/>
      <c r="L190" s="36"/>
      <c r="M190" s="36"/>
      <c r="N190" s="35"/>
      <c r="O190" s="35"/>
      <c r="P190" s="35"/>
      <c r="Q190" s="36"/>
      <c r="R190" s="36"/>
      <c r="S190" s="36"/>
      <c r="T190" s="46"/>
      <c r="U190" s="36"/>
      <c r="V190" s="35"/>
      <c r="W190" s="38" t="str">
        <f t="shared" si="2"/>
        <v/>
      </c>
    </row>
    <row r="191" spans="1:23" x14ac:dyDescent="0.35">
      <c r="A191" s="46"/>
      <c r="B191" s="36"/>
      <c r="C191" s="35"/>
      <c r="D191" s="24"/>
      <c r="E191" s="35"/>
      <c r="F191" s="35"/>
      <c r="G191" s="36"/>
      <c r="H191" s="36"/>
      <c r="I191" s="36"/>
      <c r="J191" s="36"/>
      <c r="K191" s="36"/>
      <c r="L191" s="36"/>
      <c r="M191" s="36"/>
      <c r="N191" s="35"/>
      <c r="O191" s="35"/>
      <c r="P191" s="35"/>
      <c r="Q191" s="36"/>
      <c r="R191" s="36"/>
      <c r="S191" s="36"/>
      <c r="T191" s="46"/>
      <c r="U191" s="36"/>
      <c r="V191" s="35"/>
      <c r="W191" s="38" t="str">
        <f t="shared" si="2"/>
        <v/>
      </c>
    </row>
    <row r="192" spans="1:23" x14ac:dyDescent="0.35">
      <c r="A192" s="46"/>
      <c r="B192" s="36"/>
      <c r="C192" s="35"/>
      <c r="D192" s="24"/>
      <c r="E192" s="35"/>
      <c r="F192" s="35"/>
      <c r="G192" s="36"/>
      <c r="H192" s="36"/>
      <c r="I192" s="36"/>
      <c r="J192" s="36"/>
      <c r="K192" s="36"/>
      <c r="L192" s="36"/>
      <c r="M192" s="36"/>
      <c r="N192" s="35"/>
      <c r="O192" s="35"/>
      <c r="P192" s="35"/>
      <c r="Q192" s="36"/>
      <c r="R192" s="36"/>
      <c r="S192" s="36"/>
      <c r="T192" s="46"/>
      <c r="U192" s="36"/>
      <c r="V192" s="35"/>
      <c r="W192" s="38" t="str">
        <f t="shared" si="2"/>
        <v/>
      </c>
    </row>
    <row r="193" spans="1:23" x14ac:dyDescent="0.35">
      <c r="A193" s="46"/>
      <c r="B193" s="36"/>
      <c r="C193" s="35"/>
      <c r="D193" s="24"/>
      <c r="E193" s="35"/>
      <c r="F193" s="35"/>
      <c r="G193" s="36"/>
      <c r="H193" s="36"/>
      <c r="I193" s="36"/>
      <c r="J193" s="36"/>
      <c r="K193" s="36"/>
      <c r="L193" s="36"/>
      <c r="M193" s="36"/>
      <c r="N193" s="35"/>
      <c r="O193" s="35"/>
      <c r="P193" s="35"/>
      <c r="Q193" s="36"/>
      <c r="R193" s="36"/>
      <c r="S193" s="36"/>
      <c r="T193" s="46"/>
      <c r="U193" s="36"/>
      <c r="V193" s="35"/>
      <c r="W193" s="38" t="str">
        <f t="shared" si="2"/>
        <v/>
      </c>
    </row>
    <row r="194" spans="1:23" x14ac:dyDescent="0.35">
      <c r="A194" s="46"/>
      <c r="B194" s="36"/>
      <c r="C194" s="35"/>
      <c r="D194" s="24"/>
      <c r="E194" s="35"/>
      <c r="F194" s="35"/>
      <c r="G194" s="36"/>
      <c r="H194" s="36"/>
      <c r="I194" s="36"/>
      <c r="J194" s="36"/>
      <c r="K194" s="36"/>
      <c r="L194" s="36"/>
      <c r="M194" s="36"/>
      <c r="N194" s="35"/>
      <c r="O194" s="35"/>
      <c r="P194" s="35"/>
      <c r="Q194" s="36"/>
      <c r="R194" s="36"/>
      <c r="S194" s="36"/>
      <c r="T194" s="46"/>
      <c r="U194" s="36"/>
      <c r="V194" s="35"/>
      <c r="W194" s="38" t="str">
        <f t="shared" si="2"/>
        <v/>
      </c>
    </row>
    <row r="195" spans="1:23" x14ac:dyDescent="0.35">
      <c r="A195" s="46"/>
      <c r="B195" s="36"/>
      <c r="C195" s="35"/>
      <c r="D195" s="24"/>
      <c r="E195" s="35"/>
      <c r="F195" s="35"/>
      <c r="G195" s="36"/>
      <c r="H195" s="36"/>
      <c r="I195" s="36"/>
      <c r="J195" s="36"/>
      <c r="K195" s="36"/>
      <c r="L195" s="36"/>
      <c r="M195" s="36"/>
      <c r="N195" s="35"/>
      <c r="O195" s="35"/>
      <c r="P195" s="35"/>
      <c r="Q195" s="36"/>
      <c r="R195" s="36"/>
      <c r="S195" s="36"/>
      <c r="T195" s="46"/>
      <c r="U195" s="36"/>
      <c r="V195" s="35"/>
      <c r="W195" s="38" t="str">
        <f t="shared" si="2"/>
        <v/>
      </c>
    </row>
    <row r="196" spans="1:23" x14ac:dyDescent="0.35">
      <c r="A196" s="46"/>
      <c r="B196" s="36"/>
      <c r="C196" s="35"/>
      <c r="D196" s="24"/>
      <c r="E196" s="35"/>
      <c r="F196" s="35"/>
      <c r="G196" s="36"/>
      <c r="H196" s="36"/>
      <c r="I196" s="36"/>
      <c r="J196" s="36"/>
      <c r="K196" s="36"/>
      <c r="L196" s="36"/>
      <c r="M196" s="36"/>
      <c r="N196" s="35"/>
      <c r="O196" s="35"/>
      <c r="P196" s="35"/>
      <c r="Q196" s="36"/>
      <c r="R196" s="36"/>
      <c r="S196" s="36"/>
      <c r="T196" s="46"/>
      <c r="U196" s="36"/>
      <c r="V196" s="35"/>
      <c r="W196" s="38" t="str">
        <f t="shared" si="2"/>
        <v/>
      </c>
    </row>
    <row r="197" spans="1:23" x14ac:dyDescent="0.35">
      <c r="A197" s="46"/>
      <c r="B197" s="36"/>
      <c r="C197" s="35"/>
      <c r="D197" s="24"/>
      <c r="E197" s="35"/>
      <c r="F197" s="35"/>
      <c r="G197" s="36"/>
      <c r="H197" s="36"/>
      <c r="I197" s="36"/>
      <c r="J197" s="36"/>
      <c r="K197" s="36"/>
      <c r="L197" s="36"/>
      <c r="M197" s="36"/>
      <c r="N197" s="35"/>
      <c r="O197" s="35"/>
      <c r="P197" s="35"/>
      <c r="Q197" s="36"/>
      <c r="R197" s="36"/>
      <c r="S197" s="36"/>
      <c r="T197" s="46"/>
      <c r="U197" s="36"/>
      <c r="V197" s="35"/>
      <c r="W197" s="38" t="str">
        <f t="shared" si="2"/>
        <v/>
      </c>
    </row>
    <row r="198" spans="1:23" x14ac:dyDescent="0.35">
      <c r="A198" s="46"/>
      <c r="B198" s="36"/>
      <c r="C198" s="35"/>
      <c r="D198" s="24"/>
      <c r="E198" s="35"/>
      <c r="F198" s="35"/>
      <c r="G198" s="36"/>
      <c r="H198" s="36"/>
      <c r="I198" s="36"/>
      <c r="J198" s="36"/>
      <c r="K198" s="36"/>
      <c r="L198" s="36"/>
      <c r="M198" s="36"/>
      <c r="N198" s="35"/>
      <c r="O198" s="35"/>
      <c r="P198" s="35"/>
      <c r="Q198" s="36"/>
      <c r="R198" s="36"/>
      <c r="S198" s="36"/>
      <c r="T198" s="46"/>
      <c r="U198" s="36"/>
      <c r="V198" s="35"/>
      <c r="W198" s="38" t="str">
        <f t="shared" ref="W198:W261" si="3">IF(OR(A198="",C198=""),"",INT(A198)&amp;"|"&amp;C198)</f>
        <v/>
      </c>
    </row>
    <row r="199" spans="1:23" x14ac:dyDescent="0.35">
      <c r="A199" s="46"/>
      <c r="B199" s="36"/>
      <c r="C199" s="35"/>
      <c r="D199" s="24"/>
      <c r="E199" s="35"/>
      <c r="F199" s="35"/>
      <c r="G199" s="36"/>
      <c r="H199" s="36"/>
      <c r="I199" s="36"/>
      <c r="J199" s="36"/>
      <c r="K199" s="36"/>
      <c r="L199" s="36"/>
      <c r="M199" s="36"/>
      <c r="N199" s="35"/>
      <c r="O199" s="35"/>
      <c r="P199" s="35"/>
      <c r="Q199" s="36"/>
      <c r="R199" s="36"/>
      <c r="S199" s="36"/>
      <c r="T199" s="46"/>
      <c r="U199" s="36"/>
      <c r="V199" s="35"/>
      <c r="W199" s="38" t="str">
        <f t="shared" si="3"/>
        <v/>
      </c>
    </row>
    <row r="200" spans="1:23" x14ac:dyDescent="0.35">
      <c r="A200" s="46"/>
      <c r="B200" s="36"/>
      <c r="C200" s="35"/>
      <c r="D200" s="24"/>
      <c r="E200" s="35"/>
      <c r="F200" s="35"/>
      <c r="G200" s="36"/>
      <c r="H200" s="36"/>
      <c r="I200" s="36"/>
      <c r="J200" s="36"/>
      <c r="K200" s="36"/>
      <c r="L200" s="36"/>
      <c r="M200" s="36"/>
      <c r="N200" s="35"/>
      <c r="O200" s="35"/>
      <c r="P200" s="35"/>
      <c r="Q200" s="36"/>
      <c r="R200" s="36"/>
      <c r="S200" s="36"/>
      <c r="T200" s="46"/>
      <c r="U200" s="36"/>
      <c r="V200" s="35"/>
      <c r="W200" s="38" t="str">
        <f t="shared" si="3"/>
        <v/>
      </c>
    </row>
    <row r="201" spans="1:23" x14ac:dyDescent="0.35">
      <c r="A201" s="46"/>
      <c r="B201" s="36"/>
      <c r="C201" s="35"/>
      <c r="D201" s="24"/>
      <c r="E201" s="35"/>
      <c r="F201" s="35"/>
      <c r="G201" s="36"/>
      <c r="H201" s="36"/>
      <c r="I201" s="36"/>
      <c r="J201" s="36"/>
      <c r="K201" s="36"/>
      <c r="L201" s="36"/>
      <c r="M201" s="36"/>
      <c r="N201" s="35"/>
      <c r="O201" s="35"/>
      <c r="P201" s="35"/>
      <c r="Q201" s="36"/>
      <c r="R201" s="36"/>
      <c r="S201" s="36"/>
      <c r="T201" s="46"/>
      <c r="U201" s="36"/>
      <c r="V201" s="35"/>
      <c r="W201" s="38" t="str">
        <f t="shared" si="3"/>
        <v/>
      </c>
    </row>
    <row r="202" spans="1:23" x14ac:dyDescent="0.35">
      <c r="A202" s="46"/>
      <c r="B202" s="36"/>
      <c r="C202" s="35"/>
      <c r="D202" s="24"/>
      <c r="E202" s="35"/>
      <c r="F202" s="35"/>
      <c r="G202" s="36"/>
      <c r="H202" s="36"/>
      <c r="I202" s="36"/>
      <c r="J202" s="36"/>
      <c r="K202" s="36"/>
      <c r="L202" s="36"/>
      <c r="M202" s="36"/>
      <c r="N202" s="35"/>
      <c r="O202" s="35"/>
      <c r="P202" s="35"/>
      <c r="Q202" s="36"/>
      <c r="R202" s="36"/>
      <c r="S202" s="36"/>
      <c r="T202" s="46"/>
      <c r="U202" s="36"/>
      <c r="V202" s="35"/>
      <c r="W202" s="38" t="str">
        <f t="shared" si="3"/>
        <v/>
      </c>
    </row>
    <row r="203" spans="1:23" x14ac:dyDescent="0.35">
      <c r="A203" s="46"/>
      <c r="B203" s="36"/>
      <c r="C203" s="35"/>
      <c r="D203" s="24"/>
      <c r="E203" s="35"/>
      <c r="F203" s="35"/>
      <c r="G203" s="36"/>
      <c r="H203" s="36"/>
      <c r="I203" s="36"/>
      <c r="J203" s="36"/>
      <c r="K203" s="36"/>
      <c r="L203" s="36"/>
      <c r="M203" s="36"/>
      <c r="N203" s="35"/>
      <c r="O203" s="35"/>
      <c r="P203" s="35"/>
      <c r="Q203" s="36"/>
      <c r="R203" s="36"/>
      <c r="S203" s="36"/>
      <c r="T203" s="46"/>
      <c r="U203" s="36"/>
      <c r="V203" s="35"/>
      <c r="W203" s="38" t="str">
        <f t="shared" si="3"/>
        <v/>
      </c>
    </row>
    <row r="204" spans="1:23" x14ac:dyDescent="0.35">
      <c r="A204" s="46"/>
      <c r="B204" s="36"/>
      <c r="C204" s="35"/>
      <c r="D204" s="24"/>
      <c r="E204" s="35"/>
      <c r="F204" s="35"/>
      <c r="G204" s="36"/>
      <c r="H204" s="36"/>
      <c r="I204" s="36"/>
      <c r="J204" s="36"/>
      <c r="K204" s="36"/>
      <c r="L204" s="36"/>
      <c r="M204" s="36"/>
      <c r="N204" s="35"/>
      <c r="O204" s="35"/>
      <c r="P204" s="35"/>
      <c r="Q204" s="36"/>
      <c r="R204" s="36"/>
      <c r="S204" s="36"/>
      <c r="T204" s="46"/>
      <c r="U204" s="36"/>
      <c r="V204" s="35"/>
      <c r="W204" s="38" t="str">
        <f t="shared" si="3"/>
        <v/>
      </c>
    </row>
    <row r="205" spans="1:23" x14ac:dyDescent="0.35">
      <c r="A205" s="46"/>
      <c r="B205" s="36"/>
      <c r="C205" s="35"/>
      <c r="D205" s="24"/>
      <c r="E205" s="35"/>
      <c r="F205" s="35"/>
      <c r="G205" s="36"/>
      <c r="H205" s="36"/>
      <c r="I205" s="36"/>
      <c r="J205" s="36"/>
      <c r="K205" s="36"/>
      <c r="L205" s="36"/>
      <c r="M205" s="36"/>
      <c r="N205" s="35"/>
      <c r="O205" s="35"/>
      <c r="P205" s="35"/>
      <c r="Q205" s="36"/>
      <c r="R205" s="36"/>
      <c r="S205" s="36"/>
      <c r="T205" s="46"/>
      <c r="U205" s="36"/>
      <c r="V205" s="35"/>
      <c r="W205" s="38" t="str">
        <f t="shared" si="3"/>
        <v/>
      </c>
    </row>
    <row r="206" spans="1:23" x14ac:dyDescent="0.35">
      <c r="A206" s="46"/>
      <c r="B206" s="36"/>
      <c r="C206" s="35"/>
      <c r="D206" s="24"/>
      <c r="E206" s="35"/>
      <c r="F206" s="35"/>
      <c r="G206" s="36"/>
      <c r="H206" s="36"/>
      <c r="I206" s="36"/>
      <c r="J206" s="36"/>
      <c r="K206" s="36"/>
      <c r="L206" s="36"/>
      <c r="M206" s="36"/>
      <c r="N206" s="35"/>
      <c r="O206" s="35"/>
      <c r="P206" s="35"/>
      <c r="Q206" s="36"/>
      <c r="R206" s="36"/>
      <c r="S206" s="36"/>
      <c r="T206" s="46"/>
      <c r="U206" s="36"/>
      <c r="V206" s="35"/>
      <c r="W206" s="38" t="str">
        <f t="shared" si="3"/>
        <v/>
      </c>
    </row>
    <row r="207" spans="1:23" x14ac:dyDescent="0.35">
      <c r="A207" s="46"/>
      <c r="B207" s="36"/>
      <c r="C207" s="35"/>
      <c r="D207" s="24"/>
      <c r="E207" s="35"/>
      <c r="F207" s="35"/>
      <c r="G207" s="36"/>
      <c r="H207" s="36"/>
      <c r="I207" s="36"/>
      <c r="J207" s="36"/>
      <c r="K207" s="36"/>
      <c r="L207" s="36"/>
      <c r="M207" s="36"/>
      <c r="N207" s="35"/>
      <c r="O207" s="35"/>
      <c r="P207" s="35"/>
      <c r="Q207" s="36"/>
      <c r="R207" s="36"/>
      <c r="S207" s="36"/>
      <c r="T207" s="46"/>
      <c r="U207" s="36"/>
      <c r="V207" s="35"/>
      <c r="W207" s="38" t="str">
        <f t="shared" si="3"/>
        <v/>
      </c>
    </row>
    <row r="208" spans="1:23" x14ac:dyDescent="0.35">
      <c r="A208" s="46"/>
      <c r="B208" s="36"/>
      <c r="C208" s="35"/>
      <c r="D208" s="24"/>
      <c r="E208" s="35"/>
      <c r="F208" s="35"/>
      <c r="G208" s="36"/>
      <c r="H208" s="36"/>
      <c r="I208" s="36"/>
      <c r="J208" s="36"/>
      <c r="K208" s="36"/>
      <c r="L208" s="36"/>
      <c r="M208" s="36"/>
      <c r="N208" s="35"/>
      <c r="O208" s="35"/>
      <c r="P208" s="35"/>
      <c r="Q208" s="36"/>
      <c r="R208" s="36"/>
      <c r="S208" s="36"/>
      <c r="T208" s="46"/>
      <c r="U208" s="36"/>
      <c r="V208" s="35"/>
      <c r="W208" s="38" t="str">
        <f t="shared" si="3"/>
        <v/>
      </c>
    </row>
    <row r="209" spans="1:23" x14ac:dyDescent="0.35">
      <c r="A209" s="46"/>
      <c r="B209" s="36"/>
      <c r="C209" s="35"/>
      <c r="D209" s="24"/>
      <c r="E209" s="35"/>
      <c r="F209" s="35"/>
      <c r="G209" s="36"/>
      <c r="H209" s="36"/>
      <c r="I209" s="36"/>
      <c r="J209" s="36"/>
      <c r="K209" s="36"/>
      <c r="L209" s="36"/>
      <c r="M209" s="36"/>
      <c r="N209" s="35"/>
      <c r="O209" s="35"/>
      <c r="P209" s="35"/>
      <c r="Q209" s="36"/>
      <c r="R209" s="36"/>
      <c r="S209" s="36"/>
      <c r="T209" s="46"/>
      <c r="U209" s="36"/>
      <c r="V209" s="35"/>
      <c r="W209" s="38" t="str">
        <f t="shared" si="3"/>
        <v/>
      </c>
    </row>
    <row r="210" spans="1:23" x14ac:dyDescent="0.35">
      <c r="A210" s="46"/>
      <c r="B210" s="36"/>
      <c r="C210" s="35"/>
      <c r="D210" s="24"/>
      <c r="E210" s="35"/>
      <c r="F210" s="35"/>
      <c r="G210" s="36"/>
      <c r="H210" s="36"/>
      <c r="I210" s="36"/>
      <c r="J210" s="36"/>
      <c r="K210" s="36"/>
      <c r="L210" s="36"/>
      <c r="M210" s="36"/>
      <c r="N210" s="35"/>
      <c r="O210" s="35"/>
      <c r="P210" s="35"/>
      <c r="Q210" s="36"/>
      <c r="R210" s="36"/>
      <c r="S210" s="36"/>
      <c r="T210" s="46"/>
      <c r="U210" s="36"/>
      <c r="V210" s="35"/>
      <c r="W210" s="38" t="str">
        <f t="shared" si="3"/>
        <v/>
      </c>
    </row>
    <row r="211" spans="1:23" x14ac:dyDescent="0.35">
      <c r="A211" s="46"/>
      <c r="B211" s="36"/>
      <c r="C211" s="35"/>
      <c r="D211" s="24"/>
      <c r="E211" s="35"/>
      <c r="F211" s="35"/>
      <c r="G211" s="36"/>
      <c r="H211" s="36"/>
      <c r="I211" s="36"/>
      <c r="J211" s="36"/>
      <c r="K211" s="36"/>
      <c r="L211" s="36"/>
      <c r="M211" s="36"/>
      <c r="N211" s="35"/>
      <c r="O211" s="35"/>
      <c r="P211" s="35"/>
      <c r="Q211" s="36"/>
      <c r="R211" s="36"/>
      <c r="S211" s="36"/>
      <c r="T211" s="46"/>
      <c r="U211" s="36"/>
      <c r="V211" s="35"/>
      <c r="W211" s="38" t="str">
        <f t="shared" si="3"/>
        <v/>
      </c>
    </row>
    <row r="212" spans="1:23" x14ac:dyDescent="0.35">
      <c r="A212" s="46"/>
      <c r="B212" s="36"/>
      <c r="C212" s="35"/>
      <c r="D212" s="24"/>
      <c r="E212" s="35"/>
      <c r="F212" s="35"/>
      <c r="G212" s="36"/>
      <c r="H212" s="36"/>
      <c r="I212" s="36"/>
      <c r="J212" s="36"/>
      <c r="K212" s="36"/>
      <c r="L212" s="36"/>
      <c r="M212" s="36"/>
      <c r="N212" s="35"/>
      <c r="O212" s="35"/>
      <c r="P212" s="35"/>
      <c r="Q212" s="36"/>
      <c r="R212" s="36"/>
      <c r="S212" s="36"/>
      <c r="T212" s="46"/>
      <c r="U212" s="36"/>
      <c r="V212" s="35"/>
      <c r="W212" s="38" t="str">
        <f t="shared" si="3"/>
        <v/>
      </c>
    </row>
    <row r="213" spans="1:23" x14ac:dyDescent="0.35">
      <c r="A213" s="46"/>
      <c r="B213" s="36"/>
      <c r="C213" s="35"/>
      <c r="D213" s="24"/>
      <c r="E213" s="35"/>
      <c r="F213" s="35"/>
      <c r="G213" s="36"/>
      <c r="H213" s="36"/>
      <c r="I213" s="36"/>
      <c r="J213" s="36"/>
      <c r="K213" s="36"/>
      <c r="L213" s="36"/>
      <c r="M213" s="36"/>
      <c r="N213" s="35"/>
      <c r="O213" s="35"/>
      <c r="P213" s="35"/>
      <c r="Q213" s="36"/>
      <c r="R213" s="36"/>
      <c r="S213" s="36"/>
      <c r="T213" s="46"/>
      <c r="U213" s="36"/>
      <c r="V213" s="35"/>
      <c r="W213" s="38" t="str">
        <f t="shared" si="3"/>
        <v/>
      </c>
    </row>
    <row r="214" spans="1:23" x14ac:dyDescent="0.35">
      <c r="A214" s="46"/>
      <c r="B214" s="36"/>
      <c r="C214" s="35"/>
      <c r="D214" s="24"/>
      <c r="E214" s="35"/>
      <c r="F214" s="35"/>
      <c r="G214" s="36"/>
      <c r="H214" s="36"/>
      <c r="I214" s="36"/>
      <c r="J214" s="36"/>
      <c r="K214" s="36"/>
      <c r="L214" s="36"/>
      <c r="M214" s="36"/>
      <c r="N214" s="35"/>
      <c r="O214" s="35"/>
      <c r="P214" s="35"/>
      <c r="Q214" s="36"/>
      <c r="R214" s="36"/>
      <c r="S214" s="36"/>
      <c r="T214" s="46"/>
      <c r="U214" s="36"/>
      <c r="V214" s="35"/>
      <c r="W214" s="38" t="str">
        <f t="shared" si="3"/>
        <v/>
      </c>
    </row>
    <row r="215" spans="1:23" x14ac:dyDescent="0.35">
      <c r="A215" s="46"/>
      <c r="B215" s="36"/>
      <c r="C215" s="35"/>
      <c r="D215" s="24"/>
      <c r="E215" s="35"/>
      <c r="F215" s="35"/>
      <c r="G215" s="36"/>
      <c r="H215" s="36"/>
      <c r="I215" s="36"/>
      <c r="J215" s="36"/>
      <c r="K215" s="36"/>
      <c r="L215" s="36"/>
      <c r="M215" s="36"/>
      <c r="N215" s="35"/>
      <c r="O215" s="35"/>
      <c r="P215" s="35"/>
      <c r="Q215" s="36"/>
      <c r="R215" s="36"/>
      <c r="S215" s="36"/>
      <c r="T215" s="46"/>
      <c r="U215" s="36"/>
      <c r="V215" s="35"/>
      <c r="W215" s="38" t="str">
        <f t="shared" si="3"/>
        <v/>
      </c>
    </row>
    <row r="216" spans="1:23" x14ac:dyDescent="0.35">
      <c r="A216" s="46"/>
      <c r="B216" s="36"/>
      <c r="C216" s="35"/>
      <c r="D216" s="24"/>
      <c r="E216" s="35"/>
      <c r="F216" s="35"/>
      <c r="G216" s="36"/>
      <c r="H216" s="36"/>
      <c r="I216" s="36"/>
      <c r="J216" s="36"/>
      <c r="K216" s="36"/>
      <c r="L216" s="36"/>
      <c r="M216" s="36"/>
      <c r="N216" s="35"/>
      <c r="O216" s="35"/>
      <c r="P216" s="35"/>
      <c r="Q216" s="36"/>
      <c r="R216" s="36"/>
      <c r="S216" s="36"/>
      <c r="T216" s="46"/>
      <c r="U216" s="36"/>
      <c r="V216" s="35"/>
      <c r="W216" s="38" t="str">
        <f t="shared" si="3"/>
        <v/>
      </c>
    </row>
    <row r="217" spans="1:23" x14ac:dyDescent="0.35">
      <c r="A217" s="46"/>
      <c r="B217" s="36"/>
      <c r="C217" s="35"/>
      <c r="D217" s="24"/>
      <c r="E217" s="35"/>
      <c r="F217" s="35"/>
      <c r="G217" s="36"/>
      <c r="H217" s="36"/>
      <c r="I217" s="36"/>
      <c r="J217" s="36"/>
      <c r="K217" s="36"/>
      <c r="L217" s="36"/>
      <c r="M217" s="36"/>
      <c r="N217" s="35"/>
      <c r="O217" s="35"/>
      <c r="P217" s="35"/>
      <c r="Q217" s="36"/>
      <c r="R217" s="36"/>
      <c r="S217" s="36"/>
      <c r="T217" s="46"/>
      <c r="U217" s="36"/>
      <c r="V217" s="35"/>
      <c r="W217" s="38" t="str">
        <f t="shared" si="3"/>
        <v/>
      </c>
    </row>
    <row r="218" spans="1:23" x14ac:dyDescent="0.35">
      <c r="A218" s="46"/>
      <c r="B218" s="36"/>
      <c r="C218" s="35"/>
      <c r="D218" s="24"/>
      <c r="E218" s="35"/>
      <c r="F218" s="35"/>
      <c r="G218" s="36"/>
      <c r="H218" s="36"/>
      <c r="I218" s="36"/>
      <c r="J218" s="36"/>
      <c r="K218" s="36"/>
      <c r="L218" s="36"/>
      <c r="M218" s="36"/>
      <c r="N218" s="35"/>
      <c r="O218" s="35"/>
      <c r="P218" s="35"/>
      <c r="Q218" s="36"/>
      <c r="R218" s="36"/>
      <c r="S218" s="36"/>
      <c r="T218" s="46"/>
      <c r="U218" s="36"/>
      <c r="V218" s="35"/>
      <c r="W218" s="38" t="str">
        <f t="shared" si="3"/>
        <v/>
      </c>
    </row>
    <row r="219" spans="1:23" x14ac:dyDescent="0.35">
      <c r="A219" s="46"/>
      <c r="B219" s="36"/>
      <c r="C219" s="35"/>
      <c r="D219" s="24"/>
      <c r="E219" s="35"/>
      <c r="F219" s="35"/>
      <c r="G219" s="36"/>
      <c r="H219" s="36"/>
      <c r="I219" s="36"/>
      <c r="J219" s="36"/>
      <c r="K219" s="36"/>
      <c r="L219" s="36"/>
      <c r="M219" s="36"/>
      <c r="N219" s="35"/>
      <c r="O219" s="35"/>
      <c r="P219" s="35"/>
      <c r="Q219" s="36"/>
      <c r="R219" s="36"/>
      <c r="S219" s="36"/>
      <c r="T219" s="46"/>
      <c r="U219" s="36"/>
      <c r="V219" s="35"/>
      <c r="W219" s="38" t="str">
        <f t="shared" si="3"/>
        <v/>
      </c>
    </row>
    <row r="220" spans="1:23" x14ac:dyDescent="0.35">
      <c r="A220" s="46"/>
      <c r="B220" s="36"/>
      <c r="C220" s="35"/>
      <c r="D220" s="24"/>
      <c r="E220" s="35"/>
      <c r="F220" s="35"/>
      <c r="G220" s="36"/>
      <c r="H220" s="36"/>
      <c r="I220" s="36"/>
      <c r="J220" s="36"/>
      <c r="K220" s="36"/>
      <c r="L220" s="36"/>
      <c r="M220" s="36"/>
      <c r="N220" s="35"/>
      <c r="O220" s="35"/>
      <c r="P220" s="35"/>
      <c r="Q220" s="36"/>
      <c r="R220" s="36"/>
      <c r="S220" s="36"/>
      <c r="T220" s="46"/>
      <c r="U220" s="36"/>
      <c r="V220" s="35"/>
      <c r="W220" s="38" t="str">
        <f t="shared" si="3"/>
        <v/>
      </c>
    </row>
    <row r="221" spans="1:23" x14ac:dyDescent="0.35">
      <c r="A221" s="46"/>
      <c r="B221" s="36"/>
      <c r="C221" s="35"/>
      <c r="D221" s="24"/>
      <c r="E221" s="35"/>
      <c r="F221" s="35"/>
      <c r="G221" s="36"/>
      <c r="H221" s="36"/>
      <c r="I221" s="36"/>
      <c r="J221" s="36"/>
      <c r="K221" s="36"/>
      <c r="L221" s="36"/>
      <c r="M221" s="36"/>
      <c r="N221" s="35"/>
      <c r="O221" s="35"/>
      <c r="P221" s="35"/>
      <c r="Q221" s="36"/>
      <c r="R221" s="36"/>
      <c r="S221" s="36"/>
      <c r="T221" s="46"/>
      <c r="U221" s="36"/>
      <c r="V221" s="35"/>
      <c r="W221" s="38" t="str">
        <f t="shared" si="3"/>
        <v/>
      </c>
    </row>
    <row r="222" spans="1:23" x14ac:dyDescent="0.35">
      <c r="A222" s="46"/>
      <c r="B222" s="36"/>
      <c r="C222" s="35"/>
      <c r="D222" s="24"/>
      <c r="E222" s="35"/>
      <c r="F222" s="35"/>
      <c r="G222" s="36"/>
      <c r="H222" s="36"/>
      <c r="I222" s="36"/>
      <c r="J222" s="36"/>
      <c r="K222" s="36"/>
      <c r="L222" s="36"/>
      <c r="M222" s="36"/>
      <c r="N222" s="35"/>
      <c r="O222" s="35"/>
      <c r="P222" s="35"/>
      <c r="Q222" s="36"/>
      <c r="R222" s="36"/>
      <c r="S222" s="36"/>
      <c r="T222" s="46"/>
      <c r="U222" s="36"/>
      <c r="V222" s="35"/>
      <c r="W222" s="38" t="str">
        <f t="shared" si="3"/>
        <v/>
      </c>
    </row>
    <row r="223" spans="1:23" x14ac:dyDescent="0.35">
      <c r="A223" s="46"/>
      <c r="B223" s="36"/>
      <c r="C223" s="35"/>
      <c r="D223" s="24"/>
      <c r="E223" s="35"/>
      <c r="F223" s="35"/>
      <c r="G223" s="36"/>
      <c r="H223" s="36"/>
      <c r="I223" s="36"/>
      <c r="J223" s="36"/>
      <c r="K223" s="36"/>
      <c r="L223" s="36"/>
      <c r="M223" s="36"/>
      <c r="N223" s="35"/>
      <c r="O223" s="35"/>
      <c r="P223" s="35"/>
      <c r="Q223" s="36"/>
      <c r="R223" s="36"/>
      <c r="S223" s="36"/>
      <c r="T223" s="46"/>
      <c r="U223" s="36"/>
      <c r="V223" s="35"/>
      <c r="W223" s="38" t="str">
        <f t="shared" si="3"/>
        <v/>
      </c>
    </row>
    <row r="224" spans="1:23" x14ac:dyDescent="0.35">
      <c r="A224" s="46"/>
      <c r="B224" s="36"/>
      <c r="C224" s="35"/>
      <c r="D224" s="24"/>
      <c r="E224" s="35"/>
      <c r="F224" s="35"/>
      <c r="G224" s="36"/>
      <c r="H224" s="36"/>
      <c r="I224" s="36"/>
      <c r="J224" s="36"/>
      <c r="K224" s="36"/>
      <c r="L224" s="36"/>
      <c r="M224" s="36"/>
      <c r="N224" s="35"/>
      <c r="O224" s="35"/>
      <c r="P224" s="35"/>
      <c r="Q224" s="36"/>
      <c r="R224" s="36"/>
      <c r="S224" s="36"/>
      <c r="T224" s="46"/>
      <c r="U224" s="36"/>
      <c r="V224" s="35"/>
      <c r="W224" s="38" t="str">
        <f t="shared" si="3"/>
        <v/>
      </c>
    </row>
    <row r="225" spans="1:23" x14ac:dyDescent="0.35">
      <c r="A225" s="46"/>
      <c r="B225" s="36"/>
      <c r="C225" s="35"/>
      <c r="D225" s="24"/>
      <c r="E225" s="35"/>
      <c r="F225" s="35"/>
      <c r="G225" s="36"/>
      <c r="H225" s="36"/>
      <c r="I225" s="36"/>
      <c r="J225" s="36"/>
      <c r="K225" s="36"/>
      <c r="L225" s="36"/>
      <c r="M225" s="36"/>
      <c r="N225" s="35"/>
      <c r="O225" s="35"/>
      <c r="P225" s="35"/>
      <c r="Q225" s="36"/>
      <c r="R225" s="36"/>
      <c r="S225" s="36"/>
      <c r="T225" s="46"/>
      <c r="U225" s="36"/>
      <c r="V225" s="35"/>
      <c r="W225" s="38" t="str">
        <f t="shared" si="3"/>
        <v/>
      </c>
    </row>
    <row r="226" spans="1:23" x14ac:dyDescent="0.35">
      <c r="A226" s="46"/>
      <c r="B226" s="36"/>
      <c r="C226" s="35"/>
      <c r="D226" s="24"/>
      <c r="E226" s="35"/>
      <c r="F226" s="35"/>
      <c r="G226" s="36"/>
      <c r="H226" s="36"/>
      <c r="I226" s="36"/>
      <c r="J226" s="36"/>
      <c r="K226" s="36"/>
      <c r="L226" s="36"/>
      <c r="M226" s="36"/>
      <c r="N226" s="35"/>
      <c r="O226" s="35"/>
      <c r="P226" s="35"/>
      <c r="Q226" s="36"/>
      <c r="R226" s="36"/>
      <c r="S226" s="36"/>
      <c r="T226" s="46"/>
      <c r="U226" s="36"/>
      <c r="V226" s="35"/>
      <c r="W226" s="38" t="str">
        <f t="shared" si="3"/>
        <v/>
      </c>
    </row>
    <row r="227" spans="1:23" x14ac:dyDescent="0.35">
      <c r="A227" s="46"/>
      <c r="B227" s="36"/>
      <c r="C227" s="35"/>
      <c r="D227" s="24"/>
      <c r="E227" s="35"/>
      <c r="F227" s="35"/>
      <c r="G227" s="36"/>
      <c r="H227" s="36"/>
      <c r="I227" s="36"/>
      <c r="J227" s="36"/>
      <c r="K227" s="36"/>
      <c r="L227" s="36"/>
      <c r="M227" s="36"/>
      <c r="N227" s="35"/>
      <c r="O227" s="35"/>
      <c r="P227" s="35"/>
      <c r="Q227" s="36"/>
      <c r="R227" s="36"/>
      <c r="S227" s="36"/>
      <c r="T227" s="46"/>
      <c r="U227" s="36"/>
      <c r="V227" s="35"/>
      <c r="W227" s="38" t="str">
        <f t="shared" si="3"/>
        <v/>
      </c>
    </row>
    <row r="228" spans="1:23" x14ac:dyDescent="0.35">
      <c r="A228" s="46"/>
      <c r="B228" s="36"/>
      <c r="C228" s="35"/>
      <c r="D228" s="24"/>
      <c r="E228" s="35"/>
      <c r="F228" s="35"/>
      <c r="G228" s="36"/>
      <c r="H228" s="36"/>
      <c r="I228" s="36"/>
      <c r="J228" s="36"/>
      <c r="K228" s="36"/>
      <c r="L228" s="36"/>
      <c r="M228" s="36"/>
      <c r="N228" s="35"/>
      <c r="O228" s="35"/>
      <c r="P228" s="35"/>
      <c r="Q228" s="36"/>
      <c r="R228" s="36"/>
      <c r="S228" s="36"/>
      <c r="T228" s="46"/>
      <c r="U228" s="36"/>
      <c r="V228" s="35"/>
      <c r="W228" s="38" t="str">
        <f t="shared" si="3"/>
        <v/>
      </c>
    </row>
    <row r="229" spans="1:23" x14ac:dyDescent="0.35">
      <c r="A229" s="46"/>
      <c r="B229" s="36"/>
      <c r="C229" s="35"/>
      <c r="D229" s="24"/>
      <c r="E229" s="35"/>
      <c r="F229" s="35"/>
      <c r="G229" s="36"/>
      <c r="H229" s="36"/>
      <c r="I229" s="36"/>
      <c r="J229" s="36"/>
      <c r="K229" s="36"/>
      <c r="L229" s="36"/>
      <c r="M229" s="36"/>
      <c r="N229" s="35"/>
      <c r="O229" s="35"/>
      <c r="P229" s="35"/>
      <c r="Q229" s="36"/>
      <c r="R229" s="36"/>
      <c r="S229" s="36"/>
      <c r="T229" s="46"/>
      <c r="U229" s="36"/>
      <c r="V229" s="35"/>
      <c r="W229" s="38" t="str">
        <f t="shared" si="3"/>
        <v/>
      </c>
    </row>
    <row r="230" spans="1:23" x14ac:dyDescent="0.35">
      <c r="A230" s="46"/>
      <c r="B230" s="36"/>
      <c r="C230" s="35"/>
      <c r="D230" s="24"/>
      <c r="E230" s="35"/>
      <c r="F230" s="35"/>
      <c r="G230" s="36"/>
      <c r="H230" s="36"/>
      <c r="I230" s="36"/>
      <c r="J230" s="36"/>
      <c r="K230" s="36"/>
      <c r="L230" s="36"/>
      <c r="M230" s="36"/>
      <c r="N230" s="35"/>
      <c r="O230" s="35"/>
      <c r="P230" s="35"/>
      <c r="Q230" s="36"/>
      <c r="R230" s="36"/>
      <c r="S230" s="36"/>
      <c r="T230" s="46"/>
      <c r="U230" s="36"/>
      <c r="V230" s="35"/>
      <c r="W230" s="38" t="str">
        <f t="shared" si="3"/>
        <v/>
      </c>
    </row>
    <row r="231" spans="1:23" x14ac:dyDescent="0.35">
      <c r="A231" s="46"/>
      <c r="B231" s="36"/>
      <c r="C231" s="35"/>
      <c r="D231" s="24"/>
      <c r="E231" s="35"/>
      <c r="F231" s="35"/>
      <c r="G231" s="36"/>
      <c r="H231" s="36"/>
      <c r="I231" s="36"/>
      <c r="J231" s="36"/>
      <c r="K231" s="36"/>
      <c r="L231" s="36"/>
      <c r="M231" s="36"/>
      <c r="N231" s="35"/>
      <c r="O231" s="35"/>
      <c r="P231" s="35"/>
      <c r="Q231" s="36"/>
      <c r="R231" s="36"/>
      <c r="S231" s="36"/>
      <c r="T231" s="46"/>
      <c r="U231" s="36"/>
      <c r="V231" s="35"/>
      <c r="W231" s="38" t="str">
        <f t="shared" si="3"/>
        <v/>
      </c>
    </row>
    <row r="232" spans="1:23" x14ac:dyDescent="0.35">
      <c r="A232" s="46"/>
      <c r="B232" s="36"/>
      <c r="C232" s="35"/>
      <c r="D232" s="24"/>
      <c r="E232" s="35"/>
      <c r="F232" s="35"/>
      <c r="G232" s="36"/>
      <c r="H232" s="36"/>
      <c r="I232" s="36"/>
      <c r="J232" s="36"/>
      <c r="K232" s="36"/>
      <c r="L232" s="36"/>
      <c r="M232" s="36"/>
      <c r="N232" s="35"/>
      <c r="O232" s="35"/>
      <c r="P232" s="35"/>
      <c r="Q232" s="36"/>
      <c r="R232" s="36"/>
      <c r="S232" s="36"/>
      <c r="T232" s="46"/>
      <c r="U232" s="36"/>
      <c r="V232" s="35"/>
      <c r="W232" s="38" t="str">
        <f t="shared" si="3"/>
        <v/>
      </c>
    </row>
    <row r="233" spans="1:23" x14ac:dyDescent="0.35">
      <c r="A233" s="46"/>
      <c r="B233" s="36"/>
      <c r="C233" s="35"/>
      <c r="D233" s="24"/>
      <c r="E233" s="35"/>
      <c r="F233" s="35"/>
      <c r="G233" s="36"/>
      <c r="H233" s="36"/>
      <c r="I233" s="36"/>
      <c r="J233" s="36"/>
      <c r="K233" s="36"/>
      <c r="L233" s="36"/>
      <c r="M233" s="36"/>
      <c r="N233" s="35"/>
      <c r="O233" s="35"/>
      <c r="P233" s="35"/>
      <c r="Q233" s="36"/>
      <c r="R233" s="36"/>
      <c r="S233" s="36"/>
      <c r="T233" s="46"/>
      <c r="U233" s="36"/>
      <c r="V233" s="35"/>
      <c r="W233" s="38" t="str">
        <f t="shared" si="3"/>
        <v/>
      </c>
    </row>
    <row r="234" spans="1:23" x14ac:dyDescent="0.35">
      <c r="A234" s="46"/>
      <c r="B234" s="36"/>
      <c r="C234" s="35"/>
      <c r="D234" s="24"/>
      <c r="E234" s="35"/>
      <c r="F234" s="35"/>
      <c r="G234" s="36"/>
      <c r="H234" s="36"/>
      <c r="I234" s="36"/>
      <c r="J234" s="36"/>
      <c r="K234" s="36"/>
      <c r="L234" s="36"/>
      <c r="M234" s="36"/>
      <c r="N234" s="35"/>
      <c r="O234" s="35"/>
      <c r="P234" s="35"/>
      <c r="Q234" s="36"/>
      <c r="R234" s="36"/>
      <c r="S234" s="36"/>
      <c r="T234" s="46"/>
      <c r="U234" s="36"/>
      <c r="V234" s="35"/>
      <c r="W234" s="38" t="str">
        <f t="shared" si="3"/>
        <v/>
      </c>
    </row>
    <row r="235" spans="1:23" x14ac:dyDescent="0.35">
      <c r="A235" s="46"/>
      <c r="B235" s="36"/>
      <c r="C235" s="35"/>
      <c r="D235" s="24"/>
      <c r="E235" s="35"/>
      <c r="F235" s="35"/>
      <c r="G235" s="36"/>
      <c r="H235" s="36"/>
      <c r="I235" s="36"/>
      <c r="J235" s="36"/>
      <c r="K235" s="36"/>
      <c r="L235" s="36"/>
      <c r="M235" s="36"/>
      <c r="N235" s="35"/>
      <c r="O235" s="35"/>
      <c r="P235" s="35"/>
      <c r="Q235" s="36"/>
      <c r="R235" s="36"/>
      <c r="S235" s="36"/>
      <c r="T235" s="46"/>
      <c r="U235" s="36"/>
      <c r="V235" s="35"/>
      <c r="W235" s="38" t="str">
        <f t="shared" si="3"/>
        <v/>
      </c>
    </row>
    <row r="236" spans="1:23" x14ac:dyDescent="0.35">
      <c r="A236" s="46"/>
      <c r="B236" s="36"/>
      <c r="C236" s="35"/>
      <c r="D236" s="24"/>
      <c r="E236" s="35"/>
      <c r="F236" s="35"/>
      <c r="G236" s="36"/>
      <c r="H236" s="36"/>
      <c r="I236" s="36"/>
      <c r="J236" s="36"/>
      <c r="K236" s="36"/>
      <c r="L236" s="36"/>
      <c r="M236" s="36"/>
      <c r="N236" s="35"/>
      <c r="O236" s="35"/>
      <c r="P236" s="35"/>
      <c r="Q236" s="36"/>
      <c r="R236" s="36"/>
      <c r="S236" s="36"/>
      <c r="T236" s="46"/>
      <c r="U236" s="36"/>
      <c r="V236" s="35"/>
      <c r="W236" s="38" t="str">
        <f t="shared" si="3"/>
        <v/>
      </c>
    </row>
    <row r="237" spans="1:23" x14ac:dyDescent="0.35">
      <c r="A237" s="46"/>
      <c r="B237" s="36"/>
      <c r="C237" s="35"/>
      <c r="D237" s="24"/>
      <c r="E237" s="35"/>
      <c r="F237" s="35"/>
      <c r="G237" s="36"/>
      <c r="H237" s="36"/>
      <c r="I237" s="36"/>
      <c r="J237" s="36"/>
      <c r="K237" s="36"/>
      <c r="L237" s="36"/>
      <c r="M237" s="36"/>
      <c r="N237" s="35"/>
      <c r="O237" s="35"/>
      <c r="P237" s="35"/>
      <c r="Q237" s="36"/>
      <c r="R237" s="36"/>
      <c r="S237" s="36"/>
      <c r="T237" s="46"/>
      <c r="U237" s="36"/>
      <c r="V237" s="35"/>
      <c r="W237" s="38" t="str">
        <f t="shared" si="3"/>
        <v/>
      </c>
    </row>
    <row r="238" spans="1:23" x14ac:dyDescent="0.35">
      <c r="A238" s="46"/>
      <c r="B238" s="36"/>
      <c r="C238" s="35"/>
      <c r="D238" s="24"/>
      <c r="E238" s="35"/>
      <c r="F238" s="35"/>
      <c r="G238" s="36"/>
      <c r="H238" s="36"/>
      <c r="I238" s="36"/>
      <c r="J238" s="36"/>
      <c r="K238" s="36"/>
      <c r="L238" s="36"/>
      <c r="M238" s="36"/>
      <c r="N238" s="35"/>
      <c r="O238" s="35"/>
      <c r="P238" s="35"/>
      <c r="Q238" s="36"/>
      <c r="R238" s="36"/>
      <c r="S238" s="36"/>
      <c r="T238" s="46"/>
      <c r="U238" s="36"/>
      <c r="V238" s="35"/>
      <c r="W238" s="38" t="str">
        <f t="shared" si="3"/>
        <v/>
      </c>
    </row>
    <row r="239" spans="1:23" x14ac:dyDescent="0.35">
      <c r="A239" s="46"/>
      <c r="B239" s="36"/>
      <c r="C239" s="35"/>
      <c r="D239" s="24"/>
      <c r="E239" s="35"/>
      <c r="F239" s="35"/>
      <c r="G239" s="36"/>
      <c r="H239" s="36"/>
      <c r="I239" s="36"/>
      <c r="J239" s="36"/>
      <c r="K239" s="36"/>
      <c r="L239" s="36"/>
      <c r="M239" s="36"/>
      <c r="N239" s="35"/>
      <c r="O239" s="35"/>
      <c r="P239" s="35"/>
      <c r="Q239" s="36"/>
      <c r="R239" s="36"/>
      <c r="S239" s="36"/>
      <c r="T239" s="46"/>
      <c r="U239" s="36"/>
      <c r="V239" s="35"/>
      <c r="W239" s="38" t="str">
        <f t="shared" si="3"/>
        <v/>
      </c>
    </row>
    <row r="240" spans="1:23" x14ac:dyDescent="0.35">
      <c r="A240" s="46"/>
      <c r="B240" s="36"/>
      <c r="C240" s="35"/>
      <c r="D240" s="24"/>
      <c r="E240" s="35"/>
      <c r="F240" s="35"/>
      <c r="G240" s="36"/>
      <c r="H240" s="36"/>
      <c r="I240" s="36"/>
      <c r="J240" s="36"/>
      <c r="K240" s="36"/>
      <c r="L240" s="36"/>
      <c r="M240" s="36"/>
      <c r="N240" s="35"/>
      <c r="O240" s="35"/>
      <c r="P240" s="35"/>
      <c r="Q240" s="36"/>
      <c r="R240" s="36"/>
      <c r="S240" s="36"/>
      <c r="T240" s="46"/>
      <c r="U240" s="36"/>
      <c r="V240" s="35"/>
      <c r="W240" s="38" t="str">
        <f t="shared" si="3"/>
        <v/>
      </c>
    </row>
    <row r="241" spans="1:23" x14ac:dyDescent="0.35">
      <c r="A241" s="46"/>
      <c r="B241" s="36"/>
      <c r="C241" s="35"/>
      <c r="D241" s="24"/>
      <c r="E241" s="35"/>
      <c r="F241" s="35"/>
      <c r="G241" s="36"/>
      <c r="H241" s="36"/>
      <c r="I241" s="36"/>
      <c r="J241" s="36"/>
      <c r="K241" s="36"/>
      <c r="L241" s="36"/>
      <c r="M241" s="36"/>
      <c r="N241" s="35"/>
      <c r="O241" s="35"/>
      <c r="P241" s="35"/>
      <c r="Q241" s="36"/>
      <c r="R241" s="36"/>
      <c r="S241" s="36"/>
      <c r="T241" s="46"/>
      <c r="U241" s="36"/>
      <c r="V241" s="35"/>
      <c r="W241" s="38" t="str">
        <f t="shared" si="3"/>
        <v/>
      </c>
    </row>
    <row r="242" spans="1:23" x14ac:dyDescent="0.35">
      <c r="A242" s="46"/>
      <c r="B242" s="36"/>
      <c r="C242" s="35"/>
      <c r="D242" s="24"/>
      <c r="E242" s="35"/>
      <c r="F242" s="35"/>
      <c r="G242" s="36"/>
      <c r="H242" s="36"/>
      <c r="I242" s="36"/>
      <c r="J242" s="36"/>
      <c r="K242" s="36"/>
      <c r="L242" s="36"/>
      <c r="M242" s="36"/>
      <c r="N242" s="35"/>
      <c r="O242" s="35"/>
      <c r="P242" s="35"/>
      <c r="Q242" s="36"/>
      <c r="R242" s="36"/>
      <c r="S242" s="36"/>
      <c r="T242" s="46"/>
      <c r="U242" s="36"/>
      <c r="V242" s="35"/>
      <c r="W242" s="38" t="str">
        <f t="shared" si="3"/>
        <v/>
      </c>
    </row>
    <row r="243" spans="1:23" x14ac:dyDescent="0.35">
      <c r="A243" s="46"/>
      <c r="B243" s="36"/>
      <c r="C243" s="35"/>
      <c r="D243" s="24"/>
      <c r="E243" s="35"/>
      <c r="F243" s="35"/>
      <c r="G243" s="36"/>
      <c r="H243" s="36"/>
      <c r="I243" s="36"/>
      <c r="J243" s="36"/>
      <c r="K243" s="36"/>
      <c r="L243" s="36"/>
      <c r="M243" s="36"/>
      <c r="N243" s="35"/>
      <c r="O243" s="35"/>
      <c r="P243" s="35"/>
      <c r="Q243" s="36"/>
      <c r="R243" s="36"/>
      <c r="S243" s="36"/>
      <c r="T243" s="46"/>
      <c r="U243" s="36"/>
      <c r="V243" s="35"/>
      <c r="W243" s="38" t="str">
        <f t="shared" si="3"/>
        <v/>
      </c>
    </row>
    <row r="244" spans="1:23" x14ac:dyDescent="0.35">
      <c r="A244" s="46"/>
      <c r="B244" s="36"/>
      <c r="C244" s="35"/>
      <c r="D244" s="24"/>
      <c r="E244" s="35"/>
      <c r="F244" s="35"/>
      <c r="G244" s="36"/>
      <c r="H244" s="36"/>
      <c r="I244" s="36"/>
      <c r="J244" s="36"/>
      <c r="K244" s="36"/>
      <c r="L244" s="36"/>
      <c r="M244" s="36"/>
      <c r="N244" s="35"/>
      <c r="O244" s="35"/>
      <c r="P244" s="35"/>
      <c r="Q244" s="36"/>
      <c r="R244" s="36"/>
      <c r="S244" s="36"/>
      <c r="T244" s="46"/>
      <c r="U244" s="36"/>
      <c r="V244" s="35"/>
      <c r="W244" s="38" t="str">
        <f t="shared" si="3"/>
        <v/>
      </c>
    </row>
    <row r="245" spans="1:23" x14ac:dyDescent="0.35">
      <c r="A245" s="46"/>
      <c r="B245" s="36"/>
      <c r="C245" s="35"/>
      <c r="D245" s="24"/>
      <c r="E245" s="35"/>
      <c r="F245" s="35"/>
      <c r="G245" s="36"/>
      <c r="H245" s="36"/>
      <c r="I245" s="36"/>
      <c r="J245" s="36"/>
      <c r="K245" s="36"/>
      <c r="L245" s="36"/>
      <c r="M245" s="36"/>
      <c r="N245" s="35"/>
      <c r="O245" s="35"/>
      <c r="P245" s="35"/>
      <c r="Q245" s="36"/>
      <c r="R245" s="36"/>
      <c r="S245" s="36"/>
      <c r="T245" s="46"/>
      <c r="U245" s="36"/>
      <c r="V245" s="35"/>
      <c r="W245" s="38" t="str">
        <f t="shared" si="3"/>
        <v/>
      </c>
    </row>
    <row r="246" spans="1:23" x14ac:dyDescent="0.35">
      <c r="A246" s="46"/>
      <c r="B246" s="36"/>
      <c r="C246" s="35"/>
      <c r="D246" s="24"/>
      <c r="E246" s="35"/>
      <c r="F246" s="35"/>
      <c r="G246" s="36"/>
      <c r="H246" s="36"/>
      <c r="I246" s="36"/>
      <c r="J246" s="36"/>
      <c r="K246" s="36"/>
      <c r="L246" s="36"/>
      <c r="M246" s="36"/>
      <c r="N246" s="35"/>
      <c r="O246" s="35"/>
      <c r="P246" s="35"/>
      <c r="Q246" s="36"/>
      <c r="R246" s="36"/>
      <c r="S246" s="36"/>
      <c r="T246" s="46"/>
      <c r="U246" s="36"/>
      <c r="V246" s="35"/>
      <c r="W246" s="38" t="str">
        <f t="shared" si="3"/>
        <v/>
      </c>
    </row>
    <row r="247" spans="1:23" x14ac:dyDescent="0.35">
      <c r="A247" s="46"/>
      <c r="B247" s="36"/>
      <c r="C247" s="35"/>
      <c r="D247" s="24"/>
      <c r="E247" s="35"/>
      <c r="F247" s="35"/>
      <c r="G247" s="36"/>
      <c r="H247" s="36"/>
      <c r="I247" s="36"/>
      <c r="J247" s="36"/>
      <c r="K247" s="36"/>
      <c r="L247" s="36"/>
      <c r="M247" s="36"/>
      <c r="N247" s="35"/>
      <c r="O247" s="35"/>
      <c r="P247" s="35"/>
      <c r="Q247" s="36"/>
      <c r="R247" s="36"/>
      <c r="S247" s="36"/>
      <c r="T247" s="46"/>
      <c r="U247" s="36"/>
      <c r="V247" s="35"/>
      <c r="W247" s="38" t="str">
        <f t="shared" si="3"/>
        <v/>
      </c>
    </row>
    <row r="248" spans="1:23" x14ac:dyDescent="0.35">
      <c r="A248" s="46"/>
      <c r="B248" s="36"/>
      <c r="C248" s="35"/>
      <c r="D248" s="24"/>
      <c r="E248" s="35"/>
      <c r="F248" s="35"/>
      <c r="G248" s="36"/>
      <c r="H248" s="36"/>
      <c r="I248" s="36"/>
      <c r="J248" s="36"/>
      <c r="K248" s="36"/>
      <c r="L248" s="36"/>
      <c r="M248" s="36"/>
      <c r="N248" s="35"/>
      <c r="O248" s="35"/>
      <c r="P248" s="35"/>
      <c r="Q248" s="36"/>
      <c r="R248" s="36"/>
      <c r="S248" s="36"/>
      <c r="T248" s="46"/>
      <c r="U248" s="36"/>
      <c r="V248" s="35"/>
      <c r="W248" s="38" t="str">
        <f t="shared" si="3"/>
        <v/>
      </c>
    </row>
    <row r="249" spans="1:23" x14ac:dyDescent="0.35">
      <c r="A249" s="46"/>
      <c r="B249" s="36"/>
      <c r="C249" s="35"/>
      <c r="D249" s="24"/>
      <c r="E249" s="35"/>
      <c r="F249" s="35"/>
      <c r="G249" s="36"/>
      <c r="H249" s="36"/>
      <c r="I249" s="36"/>
      <c r="J249" s="36"/>
      <c r="K249" s="36"/>
      <c r="L249" s="36"/>
      <c r="M249" s="36"/>
      <c r="N249" s="35"/>
      <c r="O249" s="35"/>
      <c r="P249" s="35"/>
      <c r="Q249" s="36"/>
      <c r="R249" s="36"/>
      <c r="S249" s="36"/>
      <c r="T249" s="46"/>
      <c r="U249" s="36"/>
      <c r="V249" s="35"/>
      <c r="W249" s="38" t="str">
        <f t="shared" si="3"/>
        <v/>
      </c>
    </row>
    <row r="250" spans="1:23" x14ac:dyDescent="0.35">
      <c r="A250" s="46"/>
      <c r="B250" s="36"/>
      <c r="C250" s="35"/>
      <c r="D250" s="24"/>
      <c r="E250" s="35"/>
      <c r="F250" s="35"/>
      <c r="G250" s="36"/>
      <c r="H250" s="36"/>
      <c r="I250" s="36"/>
      <c r="J250" s="36"/>
      <c r="K250" s="36"/>
      <c r="L250" s="36"/>
      <c r="M250" s="36"/>
      <c r="N250" s="35"/>
      <c r="O250" s="35"/>
      <c r="P250" s="35"/>
      <c r="Q250" s="36"/>
      <c r="R250" s="36"/>
      <c r="S250" s="36"/>
      <c r="T250" s="46"/>
      <c r="U250" s="36"/>
      <c r="V250" s="35"/>
      <c r="W250" s="38" t="str">
        <f t="shared" si="3"/>
        <v/>
      </c>
    </row>
    <row r="251" spans="1:23" x14ac:dyDescent="0.35">
      <c r="A251" s="46"/>
      <c r="B251" s="36"/>
      <c r="C251" s="35"/>
      <c r="D251" s="24"/>
      <c r="E251" s="35"/>
      <c r="F251" s="35"/>
      <c r="G251" s="36"/>
      <c r="H251" s="36"/>
      <c r="I251" s="36"/>
      <c r="J251" s="36"/>
      <c r="K251" s="36"/>
      <c r="L251" s="36"/>
      <c r="M251" s="36"/>
      <c r="N251" s="35"/>
      <c r="O251" s="35"/>
      <c r="P251" s="35"/>
      <c r="Q251" s="36"/>
      <c r="R251" s="36"/>
      <c r="S251" s="36"/>
      <c r="T251" s="46"/>
      <c r="U251" s="36"/>
      <c r="V251" s="35"/>
      <c r="W251" s="38" t="str">
        <f t="shared" si="3"/>
        <v/>
      </c>
    </row>
    <row r="252" spans="1:23" x14ac:dyDescent="0.35">
      <c r="A252" s="46"/>
      <c r="B252" s="36"/>
      <c r="C252" s="35"/>
      <c r="D252" s="24"/>
      <c r="E252" s="35"/>
      <c r="F252" s="35"/>
      <c r="G252" s="36"/>
      <c r="H252" s="36"/>
      <c r="I252" s="36"/>
      <c r="J252" s="36"/>
      <c r="K252" s="36"/>
      <c r="L252" s="36"/>
      <c r="M252" s="36"/>
      <c r="N252" s="35"/>
      <c r="O252" s="35"/>
      <c r="P252" s="35"/>
      <c r="Q252" s="36"/>
      <c r="R252" s="36"/>
      <c r="S252" s="36"/>
      <c r="T252" s="46"/>
      <c r="U252" s="36"/>
      <c r="V252" s="35"/>
      <c r="W252" s="38" t="str">
        <f t="shared" si="3"/>
        <v/>
      </c>
    </row>
    <row r="253" spans="1:23" x14ac:dyDescent="0.35">
      <c r="A253" s="46"/>
      <c r="B253" s="36"/>
      <c r="C253" s="35"/>
      <c r="D253" s="24"/>
      <c r="E253" s="35"/>
      <c r="F253" s="35"/>
      <c r="G253" s="36"/>
      <c r="H253" s="36"/>
      <c r="I253" s="36"/>
      <c r="J253" s="36"/>
      <c r="K253" s="36"/>
      <c r="L253" s="36"/>
      <c r="M253" s="36"/>
      <c r="N253" s="35"/>
      <c r="O253" s="35"/>
      <c r="P253" s="35"/>
      <c r="Q253" s="36"/>
      <c r="R253" s="36"/>
      <c r="S253" s="36"/>
      <c r="T253" s="46"/>
      <c r="U253" s="36"/>
      <c r="V253" s="35"/>
      <c r="W253" s="38" t="str">
        <f t="shared" si="3"/>
        <v/>
      </c>
    </row>
    <row r="254" spans="1:23" x14ac:dyDescent="0.35">
      <c r="A254" s="46"/>
      <c r="B254" s="36"/>
      <c r="C254" s="35"/>
      <c r="D254" s="24"/>
      <c r="E254" s="35"/>
      <c r="F254" s="35"/>
      <c r="G254" s="36"/>
      <c r="H254" s="36"/>
      <c r="I254" s="36"/>
      <c r="J254" s="36"/>
      <c r="K254" s="36"/>
      <c r="L254" s="36"/>
      <c r="M254" s="36"/>
      <c r="N254" s="35"/>
      <c r="O254" s="35"/>
      <c r="P254" s="35"/>
      <c r="Q254" s="36"/>
      <c r="R254" s="36"/>
      <c r="S254" s="36"/>
      <c r="T254" s="46"/>
      <c r="U254" s="36"/>
      <c r="V254" s="35"/>
      <c r="W254" s="38" t="str">
        <f t="shared" si="3"/>
        <v/>
      </c>
    </row>
    <row r="255" spans="1:23" x14ac:dyDescent="0.35">
      <c r="A255" s="46"/>
      <c r="B255" s="36"/>
      <c r="C255" s="35"/>
      <c r="D255" s="24"/>
      <c r="E255" s="35"/>
      <c r="F255" s="35"/>
      <c r="G255" s="36"/>
      <c r="H255" s="36"/>
      <c r="I255" s="36"/>
      <c r="J255" s="36"/>
      <c r="K255" s="36"/>
      <c r="L255" s="36"/>
      <c r="M255" s="36"/>
      <c r="N255" s="35"/>
      <c r="O255" s="35"/>
      <c r="P255" s="35"/>
      <c r="Q255" s="36"/>
      <c r="R255" s="36"/>
      <c r="S255" s="36"/>
      <c r="T255" s="46"/>
      <c r="U255" s="36"/>
      <c r="V255" s="35"/>
      <c r="W255" s="38" t="str">
        <f t="shared" si="3"/>
        <v/>
      </c>
    </row>
    <row r="256" spans="1:23" x14ac:dyDescent="0.35">
      <c r="A256" s="46"/>
      <c r="B256" s="36"/>
      <c r="C256" s="35"/>
      <c r="D256" s="24"/>
      <c r="E256" s="35"/>
      <c r="F256" s="35"/>
      <c r="G256" s="36"/>
      <c r="H256" s="36"/>
      <c r="I256" s="36"/>
      <c r="J256" s="36"/>
      <c r="K256" s="36"/>
      <c r="L256" s="36"/>
      <c r="M256" s="36"/>
      <c r="N256" s="35"/>
      <c r="O256" s="35"/>
      <c r="P256" s="35"/>
      <c r="Q256" s="36"/>
      <c r="R256" s="36"/>
      <c r="S256" s="36"/>
      <c r="T256" s="46"/>
      <c r="U256" s="36"/>
      <c r="V256" s="35"/>
      <c r="W256" s="38" t="str">
        <f t="shared" si="3"/>
        <v/>
      </c>
    </row>
    <row r="257" spans="1:23" x14ac:dyDescent="0.35">
      <c r="A257" s="46"/>
      <c r="B257" s="36"/>
      <c r="C257" s="35"/>
      <c r="D257" s="24"/>
      <c r="E257" s="35"/>
      <c r="F257" s="35"/>
      <c r="G257" s="36"/>
      <c r="H257" s="36"/>
      <c r="I257" s="36"/>
      <c r="J257" s="36"/>
      <c r="K257" s="36"/>
      <c r="L257" s="36"/>
      <c r="M257" s="36"/>
      <c r="N257" s="35"/>
      <c r="O257" s="35"/>
      <c r="P257" s="35"/>
      <c r="Q257" s="36"/>
      <c r="R257" s="36"/>
      <c r="S257" s="36"/>
      <c r="T257" s="46"/>
      <c r="U257" s="36"/>
      <c r="V257" s="35"/>
      <c r="W257" s="38" t="str">
        <f t="shared" si="3"/>
        <v/>
      </c>
    </row>
    <row r="258" spans="1:23" x14ac:dyDescent="0.35">
      <c r="A258" s="46"/>
      <c r="B258" s="36"/>
      <c r="C258" s="35"/>
      <c r="D258" s="24"/>
      <c r="E258" s="35"/>
      <c r="F258" s="35"/>
      <c r="G258" s="36"/>
      <c r="H258" s="36"/>
      <c r="I258" s="36"/>
      <c r="J258" s="36"/>
      <c r="K258" s="36"/>
      <c r="L258" s="36"/>
      <c r="M258" s="36"/>
      <c r="N258" s="35"/>
      <c r="O258" s="35"/>
      <c r="P258" s="35"/>
      <c r="Q258" s="36"/>
      <c r="R258" s="36"/>
      <c r="S258" s="36"/>
      <c r="T258" s="46"/>
      <c r="U258" s="36"/>
      <c r="V258" s="35"/>
      <c r="W258" s="38" t="str">
        <f t="shared" si="3"/>
        <v/>
      </c>
    </row>
    <row r="259" spans="1:23" x14ac:dyDescent="0.35">
      <c r="A259" s="46"/>
      <c r="B259" s="36"/>
      <c r="C259" s="35"/>
      <c r="D259" s="24"/>
      <c r="E259" s="35"/>
      <c r="F259" s="35"/>
      <c r="G259" s="36"/>
      <c r="H259" s="36"/>
      <c r="I259" s="36"/>
      <c r="J259" s="36"/>
      <c r="K259" s="36"/>
      <c r="L259" s="36"/>
      <c r="M259" s="36"/>
      <c r="N259" s="35"/>
      <c r="O259" s="35"/>
      <c r="P259" s="35"/>
      <c r="Q259" s="36"/>
      <c r="R259" s="36"/>
      <c r="S259" s="36"/>
      <c r="T259" s="46"/>
      <c r="U259" s="36"/>
      <c r="V259" s="35"/>
      <c r="W259" s="38" t="str">
        <f t="shared" si="3"/>
        <v/>
      </c>
    </row>
    <row r="260" spans="1:23" x14ac:dyDescent="0.35">
      <c r="A260" s="46"/>
      <c r="B260" s="36"/>
      <c r="C260" s="35"/>
      <c r="D260" s="24"/>
      <c r="E260" s="35"/>
      <c r="F260" s="35"/>
      <c r="G260" s="36"/>
      <c r="H260" s="36"/>
      <c r="I260" s="36"/>
      <c r="J260" s="36"/>
      <c r="K260" s="36"/>
      <c r="L260" s="36"/>
      <c r="M260" s="36"/>
      <c r="N260" s="35"/>
      <c r="O260" s="35"/>
      <c r="P260" s="35"/>
      <c r="Q260" s="36"/>
      <c r="R260" s="36"/>
      <c r="S260" s="36"/>
      <c r="T260" s="46"/>
      <c r="U260" s="36"/>
      <c r="V260" s="35"/>
      <c r="W260" s="38" t="str">
        <f t="shared" si="3"/>
        <v/>
      </c>
    </row>
    <row r="261" spans="1:23" x14ac:dyDescent="0.35">
      <c r="A261" s="46"/>
      <c r="B261" s="36"/>
      <c r="C261" s="35"/>
      <c r="D261" s="24"/>
      <c r="E261" s="35"/>
      <c r="F261" s="35"/>
      <c r="G261" s="36"/>
      <c r="H261" s="36"/>
      <c r="I261" s="36"/>
      <c r="J261" s="36"/>
      <c r="K261" s="36"/>
      <c r="L261" s="36"/>
      <c r="M261" s="36"/>
      <c r="N261" s="35"/>
      <c r="O261" s="35"/>
      <c r="P261" s="35"/>
      <c r="Q261" s="36"/>
      <c r="R261" s="36"/>
      <c r="S261" s="36"/>
      <c r="T261" s="46"/>
      <c r="U261" s="36"/>
      <c r="V261" s="35"/>
      <c r="W261" s="38" t="str">
        <f t="shared" si="3"/>
        <v/>
      </c>
    </row>
    <row r="262" spans="1:23" x14ac:dyDescent="0.35">
      <c r="A262" s="46"/>
      <c r="B262" s="36"/>
      <c r="C262" s="35"/>
      <c r="D262" s="24"/>
      <c r="E262" s="35"/>
      <c r="F262" s="35"/>
      <c r="G262" s="36"/>
      <c r="H262" s="36"/>
      <c r="I262" s="36"/>
      <c r="J262" s="36"/>
      <c r="K262" s="36"/>
      <c r="L262" s="36"/>
      <c r="M262" s="36"/>
      <c r="N262" s="35"/>
      <c r="O262" s="35"/>
      <c r="P262" s="35"/>
      <c r="Q262" s="36"/>
      <c r="R262" s="36"/>
      <c r="S262" s="36"/>
      <c r="T262" s="46"/>
      <c r="U262" s="36"/>
      <c r="V262" s="35"/>
      <c r="W262" s="38" t="str">
        <f t="shared" ref="W262:W325" si="4">IF(OR(A262="",C262=""),"",INT(A262)&amp;"|"&amp;C262)</f>
        <v/>
      </c>
    </row>
    <row r="263" spans="1:23" x14ac:dyDescent="0.35">
      <c r="A263" s="46"/>
      <c r="B263" s="36"/>
      <c r="C263" s="35"/>
      <c r="D263" s="24"/>
      <c r="E263" s="35"/>
      <c r="F263" s="35"/>
      <c r="G263" s="36"/>
      <c r="H263" s="36"/>
      <c r="I263" s="36"/>
      <c r="J263" s="36"/>
      <c r="K263" s="36"/>
      <c r="L263" s="36"/>
      <c r="M263" s="36"/>
      <c r="N263" s="35"/>
      <c r="O263" s="35"/>
      <c r="P263" s="35"/>
      <c r="Q263" s="36"/>
      <c r="R263" s="36"/>
      <c r="S263" s="36"/>
      <c r="T263" s="46"/>
      <c r="U263" s="36"/>
      <c r="V263" s="35"/>
      <c r="W263" s="38" t="str">
        <f t="shared" si="4"/>
        <v/>
      </c>
    </row>
    <row r="264" spans="1:23" x14ac:dyDescent="0.35">
      <c r="A264" s="46"/>
      <c r="B264" s="36"/>
      <c r="C264" s="35"/>
      <c r="D264" s="24"/>
      <c r="E264" s="35"/>
      <c r="F264" s="35"/>
      <c r="G264" s="36"/>
      <c r="H264" s="36"/>
      <c r="I264" s="36"/>
      <c r="J264" s="36"/>
      <c r="K264" s="36"/>
      <c r="L264" s="36"/>
      <c r="M264" s="36"/>
      <c r="N264" s="35"/>
      <c r="O264" s="35"/>
      <c r="P264" s="35"/>
      <c r="Q264" s="36"/>
      <c r="R264" s="36"/>
      <c r="S264" s="36"/>
      <c r="T264" s="46"/>
      <c r="U264" s="36"/>
      <c r="V264" s="35"/>
      <c r="W264" s="38" t="str">
        <f t="shared" si="4"/>
        <v/>
      </c>
    </row>
    <row r="265" spans="1:23" x14ac:dyDescent="0.35">
      <c r="A265" s="46"/>
      <c r="B265" s="36"/>
      <c r="C265" s="35"/>
      <c r="D265" s="24"/>
      <c r="E265" s="35"/>
      <c r="F265" s="35"/>
      <c r="G265" s="36"/>
      <c r="H265" s="36"/>
      <c r="I265" s="36"/>
      <c r="J265" s="36"/>
      <c r="K265" s="36"/>
      <c r="L265" s="36"/>
      <c r="M265" s="36"/>
      <c r="N265" s="35"/>
      <c r="O265" s="35"/>
      <c r="P265" s="35"/>
      <c r="Q265" s="36"/>
      <c r="R265" s="36"/>
      <c r="S265" s="36"/>
      <c r="T265" s="46"/>
      <c r="U265" s="36"/>
      <c r="V265" s="35"/>
      <c r="W265" s="38" t="str">
        <f t="shared" si="4"/>
        <v/>
      </c>
    </row>
    <row r="266" spans="1:23" x14ac:dyDescent="0.35">
      <c r="A266" s="46"/>
      <c r="B266" s="36"/>
      <c r="C266" s="35"/>
      <c r="D266" s="24"/>
      <c r="E266" s="35"/>
      <c r="F266" s="35"/>
      <c r="G266" s="36"/>
      <c r="H266" s="36"/>
      <c r="I266" s="36"/>
      <c r="J266" s="36"/>
      <c r="K266" s="36"/>
      <c r="L266" s="36"/>
      <c r="M266" s="36"/>
      <c r="N266" s="35"/>
      <c r="O266" s="35"/>
      <c r="P266" s="35"/>
      <c r="Q266" s="36"/>
      <c r="R266" s="36"/>
      <c r="S266" s="36"/>
      <c r="T266" s="46"/>
      <c r="U266" s="36"/>
      <c r="V266" s="35"/>
      <c r="W266" s="38" t="str">
        <f t="shared" si="4"/>
        <v/>
      </c>
    </row>
    <row r="267" spans="1:23" x14ac:dyDescent="0.35">
      <c r="A267" s="46"/>
      <c r="B267" s="36"/>
      <c r="C267" s="35"/>
      <c r="D267" s="24"/>
      <c r="E267" s="35"/>
      <c r="F267" s="35"/>
      <c r="G267" s="36"/>
      <c r="H267" s="36"/>
      <c r="I267" s="36"/>
      <c r="J267" s="36"/>
      <c r="K267" s="36"/>
      <c r="L267" s="36"/>
      <c r="M267" s="36"/>
      <c r="N267" s="35"/>
      <c r="O267" s="35"/>
      <c r="P267" s="35"/>
      <c r="Q267" s="36"/>
      <c r="R267" s="36"/>
      <c r="S267" s="36"/>
      <c r="T267" s="46"/>
      <c r="U267" s="36"/>
      <c r="V267" s="35"/>
      <c r="W267" s="38" t="str">
        <f t="shared" si="4"/>
        <v/>
      </c>
    </row>
    <row r="268" spans="1:23" x14ac:dyDescent="0.35">
      <c r="A268" s="46"/>
      <c r="B268" s="36"/>
      <c r="C268" s="35"/>
      <c r="D268" s="24"/>
      <c r="E268" s="35"/>
      <c r="F268" s="35"/>
      <c r="G268" s="36"/>
      <c r="H268" s="36"/>
      <c r="I268" s="36"/>
      <c r="J268" s="36"/>
      <c r="K268" s="36"/>
      <c r="L268" s="36"/>
      <c r="M268" s="36"/>
      <c r="N268" s="35"/>
      <c r="O268" s="35"/>
      <c r="P268" s="35"/>
      <c r="Q268" s="36"/>
      <c r="R268" s="36"/>
      <c r="S268" s="36"/>
      <c r="T268" s="46"/>
      <c r="U268" s="36"/>
      <c r="V268" s="35"/>
      <c r="W268" s="38" t="str">
        <f t="shared" si="4"/>
        <v/>
      </c>
    </row>
    <row r="269" spans="1:23" x14ac:dyDescent="0.35">
      <c r="A269" s="46"/>
      <c r="B269" s="36"/>
      <c r="C269" s="35"/>
      <c r="D269" s="24"/>
      <c r="E269" s="35"/>
      <c r="F269" s="35"/>
      <c r="G269" s="36"/>
      <c r="H269" s="36"/>
      <c r="I269" s="36"/>
      <c r="J269" s="36"/>
      <c r="K269" s="36"/>
      <c r="L269" s="36"/>
      <c r="M269" s="36"/>
      <c r="N269" s="35"/>
      <c r="O269" s="35"/>
      <c r="P269" s="35"/>
      <c r="Q269" s="36"/>
      <c r="R269" s="36"/>
      <c r="S269" s="36"/>
      <c r="T269" s="46"/>
      <c r="U269" s="36"/>
      <c r="V269" s="35"/>
      <c r="W269" s="38" t="str">
        <f t="shared" si="4"/>
        <v/>
      </c>
    </row>
    <row r="270" spans="1:23" x14ac:dyDescent="0.35">
      <c r="A270" s="46"/>
      <c r="B270" s="36"/>
      <c r="C270" s="35"/>
      <c r="D270" s="24"/>
      <c r="E270" s="35"/>
      <c r="F270" s="35"/>
      <c r="G270" s="36"/>
      <c r="H270" s="36"/>
      <c r="I270" s="36"/>
      <c r="J270" s="36"/>
      <c r="K270" s="36"/>
      <c r="L270" s="36"/>
      <c r="M270" s="36"/>
      <c r="N270" s="35"/>
      <c r="O270" s="35"/>
      <c r="P270" s="35"/>
      <c r="Q270" s="36"/>
      <c r="R270" s="36"/>
      <c r="S270" s="36"/>
      <c r="T270" s="46"/>
      <c r="U270" s="36"/>
      <c r="V270" s="35"/>
      <c r="W270" s="38" t="str">
        <f t="shared" si="4"/>
        <v/>
      </c>
    </row>
    <row r="271" spans="1:23" x14ac:dyDescent="0.35">
      <c r="A271" s="46"/>
      <c r="B271" s="36"/>
      <c r="C271" s="35"/>
      <c r="D271" s="24"/>
      <c r="E271" s="35"/>
      <c r="F271" s="35"/>
      <c r="G271" s="36"/>
      <c r="H271" s="36"/>
      <c r="I271" s="36"/>
      <c r="J271" s="36"/>
      <c r="K271" s="36"/>
      <c r="L271" s="36"/>
      <c r="M271" s="36"/>
      <c r="N271" s="35"/>
      <c r="O271" s="35"/>
      <c r="P271" s="35"/>
      <c r="Q271" s="36"/>
      <c r="R271" s="36"/>
      <c r="S271" s="36"/>
      <c r="T271" s="46"/>
      <c r="U271" s="36"/>
      <c r="V271" s="35"/>
      <c r="W271" s="38" t="str">
        <f t="shared" si="4"/>
        <v/>
      </c>
    </row>
    <row r="272" spans="1:23" x14ac:dyDescent="0.35">
      <c r="A272" s="46"/>
      <c r="B272" s="36"/>
      <c r="C272" s="35"/>
      <c r="D272" s="24"/>
      <c r="E272" s="35"/>
      <c r="F272" s="35"/>
      <c r="G272" s="36"/>
      <c r="H272" s="36"/>
      <c r="I272" s="36"/>
      <c r="J272" s="36"/>
      <c r="K272" s="36"/>
      <c r="L272" s="36"/>
      <c r="M272" s="36"/>
      <c r="N272" s="35"/>
      <c r="O272" s="35"/>
      <c r="P272" s="35"/>
      <c r="Q272" s="36"/>
      <c r="R272" s="36"/>
      <c r="S272" s="36"/>
      <c r="T272" s="46"/>
      <c r="U272" s="36"/>
      <c r="V272" s="35"/>
      <c r="W272" s="38" t="str">
        <f t="shared" si="4"/>
        <v/>
      </c>
    </row>
    <row r="273" spans="1:23" x14ac:dyDescent="0.35">
      <c r="A273" s="46"/>
      <c r="B273" s="36"/>
      <c r="C273" s="35"/>
      <c r="D273" s="24"/>
      <c r="E273" s="35"/>
      <c r="F273" s="35"/>
      <c r="G273" s="36"/>
      <c r="H273" s="36"/>
      <c r="I273" s="36"/>
      <c r="J273" s="36"/>
      <c r="K273" s="36"/>
      <c r="L273" s="36"/>
      <c r="M273" s="36"/>
      <c r="N273" s="35"/>
      <c r="O273" s="35"/>
      <c r="P273" s="35"/>
      <c r="Q273" s="36"/>
      <c r="R273" s="36"/>
      <c r="S273" s="36"/>
      <c r="T273" s="46"/>
      <c r="U273" s="36"/>
      <c r="V273" s="35"/>
      <c r="W273" s="38" t="str">
        <f t="shared" si="4"/>
        <v/>
      </c>
    </row>
    <row r="274" spans="1:23" x14ac:dyDescent="0.35">
      <c r="A274" s="46"/>
      <c r="B274" s="36"/>
      <c r="C274" s="35"/>
      <c r="D274" s="24"/>
      <c r="E274" s="35"/>
      <c r="F274" s="35"/>
      <c r="G274" s="36"/>
      <c r="H274" s="36"/>
      <c r="I274" s="36"/>
      <c r="J274" s="36"/>
      <c r="K274" s="36"/>
      <c r="L274" s="36"/>
      <c r="M274" s="36"/>
      <c r="N274" s="35"/>
      <c r="O274" s="35"/>
      <c r="P274" s="35"/>
      <c r="Q274" s="36"/>
      <c r="R274" s="36"/>
      <c r="S274" s="36"/>
      <c r="T274" s="46"/>
      <c r="U274" s="36"/>
      <c r="V274" s="35"/>
      <c r="W274" s="38" t="str">
        <f t="shared" si="4"/>
        <v/>
      </c>
    </row>
    <row r="275" spans="1:23" x14ac:dyDescent="0.35">
      <c r="A275" s="46"/>
      <c r="B275" s="36"/>
      <c r="C275" s="35"/>
      <c r="D275" s="24"/>
      <c r="E275" s="35"/>
      <c r="F275" s="35"/>
      <c r="G275" s="36"/>
      <c r="H275" s="36"/>
      <c r="I275" s="36"/>
      <c r="J275" s="36"/>
      <c r="K275" s="36"/>
      <c r="L275" s="36"/>
      <c r="M275" s="36"/>
      <c r="N275" s="35"/>
      <c r="O275" s="35"/>
      <c r="P275" s="35"/>
      <c r="Q275" s="36"/>
      <c r="R275" s="36"/>
      <c r="S275" s="36"/>
      <c r="T275" s="46"/>
      <c r="U275" s="36"/>
      <c r="V275" s="35"/>
      <c r="W275" s="38" t="str">
        <f t="shared" si="4"/>
        <v/>
      </c>
    </row>
    <row r="276" spans="1:23" x14ac:dyDescent="0.35">
      <c r="A276" s="46"/>
      <c r="B276" s="36"/>
      <c r="C276" s="35"/>
      <c r="D276" s="24"/>
      <c r="E276" s="35"/>
      <c r="F276" s="35"/>
      <c r="G276" s="36"/>
      <c r="H276" s="36"/>
      <c r="I276" s="36"/>
      <c r="J276" s="36"/>
      <c r="K276" s="36"/>
      <c r="L276" s="36"/>
      <c r="M276" s="36"/>
      <c r="N276" s="35"/>
      <c r="O276" s="35"/>
      <c r="P276" s="35"/>
      <c r="Q276" s="36"/>
      <c r="R276" s="36"/>
      <c r="S276" s="36"/>
      <c r="T276" s="46"/>
      <c r="U276" s="36"/>
      <c r="V276" s="35"/>
      <c r="W276" s="38" t="str">
        <f t="shared" si="4"/>
        <v/>
      </c>
    </row>
    <row r="277" spans="1:23" x14ac:dyDescent="0.35">
      <c r="A277" s="46"/>
      <c r="B277" s="36"/>
      <c r="C277" s="35"/>
      <c r="D277" s="24"/>
      <c r="E277" s="35"/>
      <c r="F277" s="35"/>
      <c r="G277" s="36"/>
      <c r="H277" s="36"/>
      <c r="I277" s="36"/>
      <c r="J277" s="36"/>
      <c r="K277" s="36"/>
      <c r="L277" s="36"/>
      <c r="M277" s="36"/>
      <c r="N277" s="35"/>
      <c r="O277" s="35"/>
      <c r="P277" s="35"/>
      <c r="Q277" s="36"/>
      <c r="R277" s="36"/>
      <c r="S277" s="36"/>
      <c r="T277" s="46"/>
      <c r="U277" s="36"/>
      <c r="V277" s="35"/>
      <c r="W277" s="38" t="str">
        <f t="shared" si="4"/>
        <v/>
      </c>
    </row>
    <row r="278" spans="1:23" x14ac:dyDescent="0.35">
      <c r="A278" s="46"/>
      <c r="B278" s="36"/>
      <c r="C278" s="35"/>
      <c r="D278" s="24"/>
      <c r="E278" s="35"/>
      <c r="F278" s="35"/>
      <c r="G278" s="36"/>
      <c r="H278" s="36"/>
      <c r="I278" s="36"/>
      <c r="J278" s="36"/>
      <c r="K278" s="36"/>
      <c r="L278" s="36"/>
      <c r="M278" s="36"/>
      <c r="N278" s="35"/>
      <c r="O278" s="35"/>
      <c r="P278" s="35"/>
      <c r="Q278" s="36"/>
      <c r="R278" s="36"/>
      <c r="S278" s="36"/>
      <c r="T278" s="46"/>
      <c r="U278" s="36"/>
      <c r="V278" s="35"/>
      <c r="W278" s="38" t="str">
        <f t="shared" si="4"/>
        <v/>
      </c>
    </row>
    <row r="279" spans="1:23" x14ac:dyDescent="0.35">
      <c r="A279" s="46"/>
      <c r="B279" s="36"/>
      <c r="C279" s="35"/>
      <c r="D279" s="24"/>
      <c r="E279" s="35"/>
      <c r="F279" s="35"/>
      <c r="G279" s="36"/>
      <c r="H279" s="36"/>
      <c r="I279" s="36"/>
      <c r="J279" s="36"/>
      <c r="K279" s="36"/>
      <c r="L279" s="36"/>
      <c r="M279" s="36"/>
      <c r="N279" s="35"/>
      <c r="O279" s="35"/>
      <c r="P279" s="35"/>
      <c r="Q279" s="36"/>
      <c r="R279" s="36"/>
      <c r="S279" s="36"/>
      <c r="T279" s="46"/>
      <c r="U279" s="36"/>
      <c r="V279" s="35"/>
      <c r="W279" s="38" t="str">
        <f t="shared" si="4"/>
        <v/>
      </c>
    </row>
    <row r="280" spans="1:23" x14ac:dyDescent="0.35">
      <c r="A280" s="46"/>
      <c r="B280" s="36"/>
      <c r="C280" s="35"/>
      <c r="D280" s="24"/>
      <c r="E280" s="35"/>
      <c r="F280" s="35"/>
      <c r="G280" s="36"/>
      <c r="H280" s="36"/>
      <c r="I280" s="36"/>
      <c r="J280" s="36"/>
      <c r="K280" s="36"/>
      <c r="L280" s="36"/>
      <c r="M280" s="36"/>
      <c r="N280" s="35"/>
      <c r="O280" s="35"/>
      <c r="P280" s="35"/>
      <c r="Q280" s="36"/>
      <c r="R280" s="36"/>
      <c r="S280" s="36"/>
      <c r="T280" s="46"/>
      <c r="U280" s="36"/>
      <c r="V280" s="35"/>
      <c r="W280" s="38" t="str">
        <f t="shared" si="4"/>
        <v/>
      </c>
    </row>
    <row r="281" spans="1:23" x14ac:dyDescent="0.35">
      <c r="A281" s="46"/>
      <c r="B281" s="36"/>
      <c r="C281" s="35"/>
      <c r="D281" s="24"/>
      <c r="E281" s="35"/>
      <c r="F281" s="35"/>
      <c r="G281" s="36"/>
      <c r="H281" s="36"/>
      <c r="I281" s="36"/>
      <c r="J281" s="36"/>
      <c r="K281" s="36"/>
      <c r="L281" s="36"/>
      <c r="M281" s="36"/>
      <c r="N281" s="35"/>
      <c r="O281" s="35"/>
      <c r="P281" s="35"/>
      <c r="Q281" s="36"/>
      <c r="R281" s="36"/>
      <c r="S281" s="36"/>
      <c r="T281" s="46"/>
      <c r="U281" s="36"/>
      <c r="V281" s="35"/>
      <c r="W281" s="38" t="str">
        <f t="shared" si="4"/>
        <v/>
      </c>
    </row>
    <row r="282" spans="1:23" x14ac:dyDescent="0.35">
      <c r="A282" s="46"/>
      <c r="B282" s="36"/>
      <c r="C282" s="35"/>
      <c r="D282" s="24"/>
      <c r="E282" s="35"/>
      <c r="F282" s="35"/>
      <c r="G282" s="36"/>
      <c r="H282" s="36"/>
      <c r="I282" s="36"/>
      <c r="J282" s="36"/>
      <c r="K282" s="36"/>
      <c r="L282" s="36"/>
      <c r="M282" s="36"/>
      <c r="N282" s="35"/>
      <c r="O282" s="35"/>
      <c r="P282" s="35"/>
      <c r="Q282" s="36"/>
      <c r="R282" s="36"/>
      <c r="S282" s="36"/>
      <c r="T282" s="46"/>
      <c r="U282" s="36"/>
      <c r="V282" s="35"/>
      <c r="W282" s="38" t="str">
        <f t="shared" si="4"/>
        <v/>
      </c>
    </row>
    <row r="283" spans="1:23" x14ac:dyDescent="0.35">
      <c r="A283" s="46"/>
      <c r="B283" s="36"/>
      <c r="C283" s="35"/>
      <c r="D283" s="24"/>
      <c r="E283" s="35"/>
      <c r="F283" s="35"/>
      <c r="G283" s="36"/>
      <c r="H283" s="36"/>
      <c r="I283" s="36"/>
      <c r="J283" s="36"/>
      <c r="K283" s="36"/>
      <c r="L283" s="36"/>
      <c r="M283" s="36"/>
      <c r="N283" s="35"/>
      <c r="O283" s="35"/>
      <c r="P283" s="35"/>
      <c r="Q283" s="36"/>
      <c r="R283" s="36"/>
      <c r="S283" s="36"/>
      <c r="T283" s="46"/>
      <c r="U283" s="36"/>
      <c r="V283" s="35"/>
      <c r="W283" s="38" t="str">
        <f t="shared" si="4"/>
        <v/>
      </c>
    </row>
    <row r="284" spans="1:23" x14ac:dyDescent="0.35">
      <c r="A284" s="46"/>
      <c r="B284" s="36"/>
      <c r="C284" s="35"/>
      <c r="D284" s="24"/>
      <c r="E284" s="35"/>
      <c r="F284" s="35"/>
      <c r="G284" s="36"/>
      <c r="H284" s="36"/>
      <c r="I284" s="36"/>
      <c r="J284" s="36"/>
      <c r="K284" s="36"/>
      <c r="L284" s="36"/>
      <c r="M284" s="36"/>
      <c r="N284" s="35"/>
      <c r="O284" s="35"/>
      <c r="P284" s="35"/>
      <c r="Q284" s="36"/>
      <c r="R284" s="36"/>
      <c r="S284" s="36"/>
      <c r="T284" s="46"/>
      <c r="U284" s="36"/>
      <c r="V284" s="35"/>
      <c r="W284" s="38" t="str">
        <f t="shared" si="4"/>
        <v/>
      </c>
    </row>
    <row r="285" spans="1:23" x14ac:dyDescent="0.35">
      <c r="A285" s="46"/>
      <c r="B285" s="36"/>
      <c r="C285" s="35"/>
      <c r="D285" s="24"/>
      <c r="E285" s="35"/>
      <c r="F285" s="35"/>
      <c r="G285" s="36"/>
      <c r="H285" s="36"/>
      <c r="I285" s="36"/>
      <c r="J285" s="36"/>
      <c r="K285" s="36"/>
      <c r="L285" s="36"/>
      <c r="M285" s="36"/>
      <c r="N285" s="35"/>
      <c r="O285" s="35"/>
      <c r="P285" s="35"/>
      <c r="Q285" s="36"/>
      <c r="R285" s="36"/>
      <c r="S285" s="36"/>
      <c r="T285" s="46"/>
      <c r="U285" s="36"/>
      <c r="V285" s="35"/>
      <c r="W285" s="38" t="str">
        <f t="shared" si="4"/>
        <v/>
      </c>
    </row>
    <row r="286" spans="1:23" x14ac:dyDescent="0.35">
      <c r="A286" s="46"/>
      <c r="B286" s="36"/>
      <c r="C286" s="35"/>
      <c r="D286" s="24"/>
      <c r="E286" s="35"/>
      <c r="F286" s="35"/>
      <c r="G286" s="36"/>
      <c r="H286" s="36"/>
      <c r="I286" s="36"/>
      <c r="J286" s="36"/>
      <c r="K286" s="36"/>
      <c r="L286" s="36"/>
      <c r="M286" s="36"/>
      <c r="N286" s="35"/>
      <c r="O286" s="35"/>
      <c r="P286" s="35"/>
      <c r="Q286" s="36"/>
      <c r="R286" s="36"/>
      <c r="S286" s="36"/>
      <c r="T286" s="46"/>
      <c r="U286" s="36"/>
      <c r="V286" s="35"/>
      <c r="W286" s="38" t="str">
        <f t="shared" si="4"/>
        <v/>
      </c>
    </row>
    <row r="287" spans="1:23" x14ac:dyDescent="0.35">
      <c r="A287" s="46"/>
      <c r="B287" s="36"/>
      <c r="C287" s="35"/>
      <c r="D287" s="24"/>
      <c r="E287" s="35"/>
      <c r="F287" s="35"/>
      <c r="G287" s="36"/>
      <c r="H287" s="36"/>
      <c r="I287" s="36"/>
      <c r="J287" s="36"/>
      <c r="K287" s="36"/>
      <c r="L287" s="36"/>
      <c r="M287" s="36"/>
      <c r="N287" s="35"/>
      <c r="O287" s="35"/>
      <c r="P287" s="35"/>
      <c r="Q287" s="36"/>
      <c r="R287" s="36"/>
      <c r="S287" s="36"/>
      <c r="T287" s="46"/>
      <c r="U287" s="36"/>
      <c r="V287" s="35"/>
      <c r="W287" s="38" t="str">
        <f t="shared" si="4"/>
        <v/>
      </c>
    </row>
    <row r="288" spans="1:23" x14ac:dyDescent="0.35">
      <c r="A288" s="46"/>
      <c r="B288" s="36"/>
      <c r="C288" s="35"/>
      <c r="D288" s="24"/>
      <c r="E288" s="35"/>
      <c r="F288" s="35"/>
      <c r="G288" s="36"/>
      <c r="H288" s="36"/>
      <c r="I288" s="36"/>
      <c r="J288" s="36"/>
      <c r="K288" s="36"/>
      <c r="L288" s="36"/>
      <c r="M288" s="36"/>
      <c r="N288" s="35"/>
      <c r="O288" s="35"/>
      <c r="P288" s="35"/>
      <c r="Q288" s="36"/>
      <c r="R288" s="36"/>
      <c r="S288" s="36"/>
      <c r="T288" s="46"/>
      <c r="U288" s="36"/>
      <c r="V288" s="35"/>
      <c r="W288" s="38" t="str">
        <f t="shared" si="4"/>
        <v/>
      </c>
    </row>
    <row r="289" spans="1:23" x14ac:dyDescent="0.35">
      <c r="A289" s="46"/>
      <c r="B289" s="36"/>
      <c r="C289" s="35"/>
      <c r="D289" s="24"/>
      <c r="E289" s="35"/>
      <c r="F289" s="35"/>
      <c r="G289" s="36"/>
      <c r="H289" s="36"/>
      <c r="I289" s="36"/>
      <c r="J289" s="36"/>
      <c r="K289" s="36"/>
      <c r="L289" s="36"/>
      <c r="M289" s="36"/>
      <c r="N289" s="35"/>
      <c r="O289" s="35"/>
      <c r="P289" s="35"/>
      <c r="Q289" s="36"/>
      <c r="R289" s="36"/>
      <c r="S289" s="36"/>
      <c r="T289" s="46"/>
      <c r="U289" s="36"/>
      <c r="V289" s="35"/>
      <c r="W289" s="38" t="str">
        <f t="shared" si="4"/>
        <v/>
      </c>
    </row>
    <row r="290" spans="1:23" x14ac:dyDescent="0.35">
      <c r="A290" s="46"/>
      <c r="B290" s="36"/>
      <c r="C290" s="35"/>
      <c r="D290" s="24"/>
      <c r="E290" s="35"/>
      <c r="F290" s="35"/>
      <c r="G290" s="36"/>
      <c r="H290" s="36"/>
      <c r="I290" s="36"/>
      <c r="J290" s="36"/>
      <c r="K290" s="36"/>
      <c r="L290" s="36"/>
      <c r="M290" s="36"/>
      <c r="N290" s="35"/>
      <c r="O290" s="35"/>
      <c r="P290" s="35"/>
      <c r="Q290" s="36"/>
      <c r="R290" s="36"/>
      <c r="S290" s="36"/>
      <c r="T290" s="46"/>
      <c r="U290" s="36"/>
      <c r="V290" s="35"/>
      <c r="W290" s="38" t="str">
        <f t="shared" si="4"/>
        <v/>
      </c>
    </row>
    <row r="291" spans="1:23" x14ac:dyDescent="0.35">
      <c r="A291" s="46"/>
      <c r="B291" s="36"/>
      <c r="C291" s="35"/>
      <c r="D291" s="24"/>
      <c r="E291" s="35"/>
      <c r="F291" s="35"/>
      <c r="G291" s="36"/>
      <c r="H291" s="36"/>
      <c r="I291" s="36"/>
      <c r="J291" s="36"/>
      <c r="K291" s="36"/>
      <c r="L291" s="36"/>
      <c r="M291" s="36"/>
      <c r="N291" s="35"/>
      <c r="O291" s="35"/>
      <c r="P291" s="35"/>
      <c r="Q291" s="36"/>
      <c r="R291" s="36"/>
      <c r="S291" s="36"/>
      <c r="T291" s="46"/>
      <c r="U291" s="36"/>
      <c r="V291" s="35"/>
      <c r="W291" s="38" t="str">
        <f t="shared" si="4"/>
        <v/>
      </c>
    </row>
    <row r="292" spans="1:23" x14ac:dyDescent="0.35">
      <c r="A292" s="46"/>
      <c r="B292" s="36"/>
      <c r="C292" s="35"/>
      <c r="D292" s="24"/>
      <c r="E292" s="35"/>
      <c r="F292" s="35"/>
      <c r="G292" s="36"/>
      <c r="H292" s="36"/>
      <c r="I292" s="36"/>
      <c r="J292" s="36"/>
      <c r="K292" s="36"/>
      <c r="L292" s="36"/>
      <c r="M292" s="36"/>
      <c r="N292" s="35"/>
      <c r="O292" s="35"/>
      <c r="P292" s="35"/>
      <c r="Q292" s="36"/>
      <c r="R292" s="36"/>
      <c r="S292" s="36"/>
      <c r="T292" s="46"/>
      <c r="U292" s="36"/>
      <c r="V292" s="35"/>
      <c r="W292" s="38" t="str">
        <f t="shared" si="4"/>
        <v/>
      </c>
    </row>
    <row r="293" spans="1:23" x14ac:dyDescent="0.35">
      <c r="A293" s="46"/>
      <c r="B293" s="36"/>
      <c r="C293" s="35"/>
      <c r="D293" s="24"/>
      <c r="E293" s="35"/>
      <c r="F293" s="35"/>
      <c r="G293" s="36"/>
      <c r="H293" s="36"/>
      <c r="I293" s="36"/>
      <c r="J293" s="36"/>
      <c r="K293" s="36"/>
      <c r="L293" s="36"/>
      <c r="M293" s="36"/>
      <c r="N293" s="35"/>
      <c r="O293" s="35"/>
      <c r="P293" s="35"/>
      <c r="Q293" s="36"/>
      <c r="R293" s="36"/>
      <c r="S293" s="36"/>
      <c r="T293" s="46"/>
      <c r="U293" s="36"/>
      <c r="V293" s="35"/>
      <c r="W293" s="38" t="str">
        <f t="shared" si="4"/>
        <v/>
      </c>
    </row>
    <row r="294" spans="1:23" x14ac:dyDescent="0.35">
      <c r="A294" s="46"/>
      <c r="B294" s="36"/>
      <c r="C294" s="35"/>
      <c r="D294" s="24"/>
      <c r="E294" s="35"/>
      <c r="F294" s="35"/>
      <c r="G294" s="36"/>
      <c r="H294" s="36"/>
      <c r="I294" s="36"/>
      <c r="J294" s="36"/>
      <c r="K294" s="36"/>
      <c r="L294" s="36"/>
      <c r="M294" s="36"/>
      <c r="N294" s="35"/>
      <c r="O294" s="35"/>
      <c r="P294" s="35"/>
      <c r="Q294" s="36"/>
      <c r="R294" s="36"/>
      <c r="S294" s="36"/>
      <c r="T294" s="46"/>
      <c r="U294" s="36"/>
      <c r="V294" s="35"/>
      <c r="W294" s="38" t="str">
        <f t="shared" si="4"/>
        <v/>
      </c>
    </row>
    <row r="295" spans="1:23" x14ac:dyDescent="0.35">
      <c r="A295" s="46"/>
      <c r="B295" s="36"/>
      <c r="C295" s="35"/>
      <c r="D295" s="24"/>
      <c r="E295" s="35"/>
      <c r="F295" s="35"/>
      <c r="G295" s="36"/>
      <c r="H295" s="36"/>
      <c r="I295" s="36"/>
      <c r="J295" s="36"/>
      <c r="K295" s="36"/>
      <c r="L295" s="36"/>
      <c r="M295" s="36"/>
      <c r="N295" s="35"/>
      <c r="O295" s="35"/>
      <c r="P295" s="35"/>
      <c r="Q295" s="36"/>
      <c r="R295" s="36"/>
      <c r="S295" s="36"/>
      <c r="T295" s="46"/>
      <c r="U295" s="36"/>
      <c r="V295" s="35"/>
      <c r="W295" s="38" t="str">
        <f t="shared" si="4"/>
        <v/>
      </c>
    </row>
    <row r="296" spans="1:23" x14ac:dyDescent="0.35">
      <c r="A296" s="46"/>
      <c r="B296" s="36"/>
      <c r="C296" s="35"/>
      <c r="D296" s="24"/>
      <c r="E296" s="35"/>
      <c r="F296" s="35"/>
      <c r="G296" s="36"/>
      <c r="H296" s="36"/>
      <c r="I296" s="36"/>
      <c r="J296" s="36"/>
      <c r="K296" s="36"/>
      <c r="L296" s="36"/>
      <c r="M296" s="36"/>
      <c r="N296" s="35"/>
      <c r="O296" s="35"/>
      <c r="P296" s="35"/>
      <c r="Q296" s="36"/>
      <c r="R296" s="36"/>
      <c r="S296" s="36"/>
      <c r="T296" s="46"/>
      <c r="U296" s="36"/>
      <c r="V296" s="35"/>
      <c r="W296" s="38" t="str">
        <f t="shared" si="4"/>
        <v/>
      </c>
    </row>
    <row r="297" spans="1:23" x14ac:dyDescent="0.35">
      <c r="A297" s="46"/>
      <c r="B297" s="36"/>
      <c r="C297" s="35"/>
      <c r="D297" s="24"/>
      <c r="E297" s="35"/>
      <c r="F297" s="35"/>
      <c r="G297" s="36"/>
      <c r="H297" s="36"/>
      <c r="I297" s="36"/>
      <c r="J297" s="36"/>
      <c r="K297" s="36"/>
      <c r="L297" s="36"/>
      <c r="M297" s="36"/>
      <c r="N297" s="35"/>
      <c r="O297" s="35"/>
      <c r="P297" s="35"/>
      <c r="Q297" s="36"/>
      <c r="R297" s="36"/>
      <c r="S297" s="36"/>
      <c r="T297" s="46"/>
      <c r="U297" s="36"/>
      <c r="V297" s="35"/>
      <c r="W297" s="38" t="str">
        <f t="shared" si="4"/>
        <v/>
      </c>
    </row>
    <row r="298" spans="1:23" x14ac:dyDescent="0.35">
      <c r="A298" s="46"/>
      <c r="B298" s="36"/>
      <c r="C298" s="35"/>
      <c r="D298" s="24"/>
      <c r="E298" s="35"/>
      <c r="F298" s="35"/>
      <c r="G298" s="36"/>
      <c r="H298" s="36"/>
      <c r="I298" s="36"/>
      <c r="J298" s="36"/>
      <c r="K298" s="36"/>
      <c r="L298" s="36"/>
      <c r="M298" s="36"/>
      <c r="N298" s="35"/>
      <c r="O298" s="35"/>
      <c r="P298" s="35"/>
      <c r="Q298" s="36"/>
      <c r="R298" s="36"/>
      <c r="S298" s="36"/>
      <c r="T298" s="46"/>
      <c r="U298" s="36"/>
      <c r="V298" s="35"/>
      <c r="W298" s="38" t="str">
        <f t="shared" si="4"/>
        <v/>
      </c>
    </row>
    <row r="299" spans="1:23" x14ac:dyDescent="0.35">
      <c r="A299" s="46"/>
      <c r="B299" s="36"/>
      <c r="C299" s="35"/>
      <c r="D299" s="24"/>
      <c r="E299" s="35"/>
      <c r="F299" s="35"/>
      <c r="G299" s="36"/>
      <c r="H299" s="36"/>
      <c r="I299" s="36"/>
      <c r="J299" s="36"/>
      <c r="K299" s="36"/>
      <c r="L299" s="36"/>
      <c r="M299" s="36"/>
      <c r="N299" s="35"/>
      <c r="O299" s="35"/>
      <c r="P299" s="35"/>
      <c r="Q299" s="36"/>
      <c r="R299" s="36"/>
      <c r="S299" s="36"/>
      <c r="T299" s="46"/>
      <c r="U299" s="36"/>
      <c r="V299" s="35"/>
      <c r="W299" s="38" t="str">
        <f t="shared" si="4"/>
        <v/>
      </c>
    </row>
    <row r="300" spans="1:23" x14ac:dyDescent="0.35">
      <c r="A300" s="46"/>
      <c r="B300" s="36"/>
      <c r="C300" s="35"/>
      <c r="D300" s="24"/>
      <c r="E300" s="35"/>
      <c r="F300" s="35"/>
      <c r="G300" s="36"/>
      <c r="H300" s="36"/>
      <c r="I300" s="36"/>
      <c r="J300" s="36"/>
      <c r="K300" s="36"/>
      <c r="L300" s="36"/>
      <c r="M300" s="36"/>
      <c r="N300" s="35"/>
      <c r="O300" s="35"/>
      <c r="P300" s="35"/>
      <c r="Q300" s="36"/>
      <c r="R300" s="36"/>
      <c r="S300" s="36"/>
      <c r="T300" s="46"/>
      <c r="U300" s="36"/>
      <c r="V300" s="35"/>
      <c r="W300" s="38" t="str">
        <f t="shared" si="4"/>
        <v/>
      </c>
    </row>
    <row r="301" spans="1:23" x14ac:dyDescent="0.35">
      <c r="A301" s="46"/>
      <c r="B301" s="36"/>
      <c r="C301" s="35"/>
      <c r="D301" s="24"/>
      <c r="E301" s="35"/>
      <c r="F301" s="35"/>
      <c r="G301" s="36"/>
      <c r="H301" s="36"/>
      <c r="I301" s="36"/>
      <c r="J301" s="36"/>
      <c r="K301" s="36"/>
      <c r="L301" s="36"/>
      <c r="M301" s="36"/>
      <c r="N301" s="35"/>
      <c r="O301" s="35"/>
      <c r="P301" s="35"/>
      <c r="Q301" s="36"/>
      <c r="R301" s="36"/>
      <c r="S301" s="36"/>
      <c r="T301" s="46"/>
      <c r="U301" s="36"/>
      <c r="V301" s="35"/>
      <c r="W301" s="38" t="str">
        <f t="shared" si="4"/>
        <v/>
      </c>
    </row>
    <row r="302" spans="1:23" x14ac:dyDescent="0.35">
      <c r="A302" s="46"/>
      <c r="B302" s="36"/>
      <c r="C302" s="35"/>
      <c r="D302" s="24"/>
      <c r="E302" s="35"/>
      <c r="F302" s="35"/>
      <c r="G302" s="36"/>
      <c r="H302" s="36"/>
      <c r="I302" s="36"/>
      <c r="J302" s="36"/>
      <c r="K302" s="36"/>
      <c r="L302" s="36"/>
      <c r="M302" s="36"/>
      <c r="N302" s="35"/>
      <c r="O302" s="35"/>
      <c r="P302" s="35"/>
      <c r="Q302" s="36"/>
      <c r="R302" s="36"/>
      <c r="S302" s="36"/>
      <c r="T302" s="46"/>
      <c r="U302" s="36"/>
      <c r="V302" s="35"/>
      <c r="W302" s="38" t="str">
        <f t="shared" si="4"/>
        <v/>
      </c>
    </row>
    <row r="303" spans="1:23" x14ac:dyDescent="0.35">
      <c r="A303" s="46"/>
      <c r="B303" s="36"/>
      <c r="C303" s="35"/>
      <c r="D303" s="24"/>
      <c r="E303" s="35"/>
      <c r="F303" s="35"/>
      <c r="G303" s="36"/>
      <c r="H303" s="36"/>
      <c r="I303" s="36"/>
      <c r="J303" s="36"/>
      <c r="K303" s="36"/>
      <c r="L303" s="36"/>
      <c r="M303" s="36"/>
      <c r="N303" s="35"/>
      <c r="O303" s="35"/>
      <c r="P303" s="35"/>
      <c r="Q303" s="36"/>
      <c r="R303" s="36"/>
      <c r="S303" s="36"/>
      <c r="T303" s="46"/>
      <c r="U303" s="36"/>
      <c r="V303" s="35"/>
      <c r="W303" s="38" t="str">
        <f t="shared" si="4"/>
        <v/>
      </c>
    </row>
    <row r="304" spans="1:23" x14ac:dyDescent="0.35">
      <c r="A304" s="46"/>
      <c r="B304" s="36"/>
      <c r="C304" s="35"/>
      <c r="D304" s="24"/>
      <c r="E304" s="35"/>
      <c r="F304" s="35"/>
      <c r="G304" s="36"/>
      <c r="H304" s="36"/>
      <c r="I304" s="36"/>
      <c r="J304" s="36"/>
      <c r="K304" s="36"/>
      <c r="L304" s="36"/>
      <c r="M304" s="36"/>
      <c r="N304" s="35"/>
      <c r="O304" s="35"/>
      <c r="P304" s="35"/>
      <c r="Q304" s="36"/>
      <c r="R304" s="36"/>
      <c r="S304" s="36"/>
      <c r="T304" s="46"/>
      <c r="U304" s="36"/>
      <c r="V304" s="35"/>
      <c r="W304" s="38" t="str">
        <f t="shared" si="4"/>
        <v/>
      </c>
    </row>
    <row r="305" spans="1:23" x14ac:dyDescent="0.35">
      <c r="A305" s="46"/>
      <c r="B305" s="36"/>
      <c r="C305" s="35"/>
      <c r="D305" s="24"/>
      <c r="E305" s="35"/>
      <c r="F305" s="35"/>
      <c r="G305" s="36"/>
      <c r="H305" s="36"/>
      <c r="I305" s="36"/>
      <c r="J305" s="36"/>
      <c r="K305" s="36"/>
      <c r="L305" s="36"/>
      <c r="M305" s="36"/>
      <c r="N305" s="35"/>
      <c r="O305" s="35"/>
      <c r="P305" s="35"/>
      <c r="Q305" s="36"/>
      <c r="R305" s="36"/>
      <c r="S305" s="36"/>
      <c r="T305" s="46"/>
      <c r="U305" s="36"/>
      <c r="V305" s="35"/>
      <c r="W305" s="38" t="str">
        <f t="shared" si="4"/>
        <v/>
      </c>
    </row>
    <row r="306" spans="1:23" x14ac:dyDescent="0.35">
      <c r="A306" s="46"/>
      <c r="B306" s="36"/>
      <c r="C306" s="35"/>
      <c r="D306" s="24"/>
      <c r="E306" s="35"/>
      <c r="F306" s="35"/>
      <c r="G306" s="36"/>
      <c r="H306" s="36"/>
      <c r="I306" s="36"/>
      <c r="J306" s="36"/>
      <c r="K306" s="36"/>
      <c r="L306" s="36"/>
      <c r="M306" s="36"/>
      <c r="N306" s="35"/>
      <c r="O306" s="35"/>
      <c r="P306" s="35"/>
      <c r="Q306" s="36"/>
      <c r="R306" s="36"/>
      <c r="S306" s="36"/>
      <c r="T306" s="46"/>
      <c r="U306" s="36"/>
      <c r="V306" s="35"/>
      <c r="W306" s="38" t="str">
        <f t="shared" si="4"/>
        <v/>
      </c>
    </row>
    <row r="307" spans="1:23" x14ac:dyDescent="0.35">
      <c r="A307" s="46"/>
      <c r="B307" s="36"/>
      <c r="C307" s="35"/>
      <c r="D307" s="24"/>
      <c r="E307" s="35"/>
      <c r="F307" s="35"/>
      <c r="G307" s="36"/>
      <c r="H307" s="36"/>
      <c r="I307" s="36"/>
      <c r="J307" s="36"/>
      <c r="K307" s="36"/>
      <c r="L307" s="36"/>
      <c r="M307" s="36"/>
      <c r="N307" s="35"/>
      <c r="O307" s="35"/>
      <c r="P307" s="35"/>
      <c r="Q307" s="36"/>
      <c r="R307" s="36"/>
      <c r="S307" s="36"/>
      <c r="T307" s="46"/>
      <c r="U307" s="36"/>
      <c r="V307" s="35"/>
      <c r="W307" s="38" t="str">
        <f t="shared" si="4"/>
        <v/>
      </c>
    </row>
    <row r="308" spans="1:23" x14ac:dyDescent="0.35">
      <c r="A308" s="46"/>
      <c r="B308" s="36"/>
      <c r="C308" s="35"/>
      <c r="D308" s="24"/>
      <c r="E308" s="35"/>
      <c r="F308" s="35"/>
      <c r="G308" s="36"/>
      <c r="H308" s="36"/>
      <c r="I308" s="36"/>
      <c r="J308" s="36"/>
      <c r="K308" s="36"/>
      <c r="L308" s="36"/>
      <c r="M308" s="36"/>
      <c r="N308" s="35"/>
      <c r="O308" s="35"/>
      <c r="P308" s="35"/>
      <c r="Q308" s="36"/>
      <c r="R308" s="36"/>
      <c r="S308" s="36"/>
      <c r="T308" s="46"/>
      <c r="U308" s="36"/>
      <c r="V308" s="35"/>
      <c r="W308" s="38" t="str">
        <f t="shared" si="4"/>
        <v/>
      </c>
    </row>
    <row r="309" spans="1:23" x14ac:dyDescent="0.35">
      <c r="A309" s="46"/>
      <c r="B309" s="36"/>
      <c r="C309" s="35"/>
      <c r="D309" s="24"/>
      <c r="E309" s="35"/>
      <c r="F309" s="35"/>
      <c r="G309" s="36"/>
      <c r="H309" s="36"/>
      <c r="I309" s="36"/>
      <c r="J309" s="36"/>
      <c r="K309" s="36"/>
      <c r="L309" s="36"/>
      <c r="M309" s="36"/>
      <c r="N309" s="35"/>
      <c r="O309" s="35"/>
      <c r="P309" s="35"/>
      <c r="Q309" s="36"/>
      <c r="R309" s="36"/>
      <c r="S309" s="36"/>
      <c r="T309" s="46"/>
      <c r="U309" s="36"/>
      <c r="V309" s="35"/>
      <c r="W309" s="38" t="str">
        <f t="shared" si="4"/>
        <v/>
      </c>
    </row>
    <row r="310" spans="1:23" x14ac:dyDescent="0.35">
      <c r="A310" s="46"/>
      <c r="B310" s="36"/>
      <c r="C310" s="35"/>
      <c r="D310" s="24"/>
      <c r="E310" s="35"/>
      <c r="F310" s="35"/>
      <c r="G310" s="36"/>
      <c r="H310" s="36"/>
      <c r="I310" s="36"/>
      <c r="J310" s="36"/>
      <c r="K310" s="36"/>
      <c r="L310" s="36"/>
      <c r="M310" s="36"/>
      <c r="N310" s="35"/>
      <c r="O310" s="35"/>
      <c r="P310" s="35"/>
      <c r="Q310" s="36"/>
      <c r="R310" s="36"/>
      <c r="S310" s="36"/>
      <c r="T310" s="46"/>
      <c r="U310" s="36"/>
      <c r="V310" s="35"/>
      <c r="W310" s="38" t="str">
        <f t="shared" si="4"/>
        <v/>
      </c>
    </row>
    <row r="311" spans="1:23" x14ac:dyDescent="0.35">
      <c r="A311" s="46"/>
      <c r="B311" s="36"/>
      <c r="C311" s="35"/>
      <c r="D311" s="24"/>
      <c r="E311" s="35"/>
      <c r="F311" s="35"/>
      <c r="G311" s="36"/>
      <c r="H311" s="36"/>
      <c r="I311" s="36"/>
      <c r="J311" s="36"/>
      <c r="K311" s="36"/>
      <c r="L311" s="36"/>
      <c r="M311" s="36"/>
      <c r="N311" s="35"/>
      <c r="O311" s="35"/>
      <c r="P311" s="35"/>
      <c r="Q311" s="36"/>
      <c r="R311" s="36"/>
      <c r="S311" s="36"/>
      <c r="T311" s="46"/>
      <c r="U311" s="36"/>
      <c r="V311" s="35"/>
      <c r="W311" s="38" t="str">
        <f t="shared" si="4"/>
        <v/>
      </c>
    </row>
    <row r="312" spans="1:23" x14ac:dyDescent="0.35">
      <c r="A312" s="46"/>
      <c r="B312" s="36"/>
      <c r="C312" s="35"/>
      <c r="D312" s="24"/>
      <c r="E312" s="35"/>
      <c r="F312" s="35"/>
      <c r="G312" s="36"/>
      <c r="H312" s="36"/>
      <c r="I312" s="36"/>
      <c r="J312" s="36"/>
      <c r="K312" s="36"/>
      <c r="L312" s="36"/>
      <c r="M312" s="36"/>
      <c r="N312" s="35"/>
      <c r="O312" s="35"/>
      <c r="P312" s="35"/>
      <c r="Q312" s="36"/>
      <c r="R312" s="36"/>
      <c r="S312" s="36"/>
      <c r="T312" s="46"/>
      <c r="U312" s="36"/>
      <c r="V312" s="35"/>
      <c r="W312" s="38" t="str">
        <f t="shared" si="4"/>
        <v/>
      </c>
    </row>
    <row r="313" spans="1:23" x14ac:dyDescent="0.35">
      <c r="A313" s="46"/>
      <c r="B313" s="36"/>
      <c r="C313" s="35"/>
      <c r="D313" s="24"/>
      <c r="E313" s="35"/>
      <c r="F313" s="35"/>
      <c r="G313" s="36"/>
      <c r="H313" s="36"/>
      <c r="I313" s="36"/>
      <c r="J313" s="36"/>
      <c r="K313" s="36"/>
      <c r="L313" s="36"/>
      <c r="M313" s="36"/>
      <c r="N313" s="35"/>
      <c r="O313" s="35"/>
      <c r="P313" s="35"/>
      <c r="Q313" s="36"/>
      <c r="R313" s="36"/>
      <c r="S313" s="36"/>
      <c r="T313" s="46"/>
      <c r="U313" s="36"/>
      <c r="V313" s="35"/>
      <c r="W313" s="38" t="str">
        <f t="shared" si="4"/>
        <v/>
      </c>
    </row>
    <row r="314" spans="1:23" x14ac:dyDescent="0.35">
      <c r="A314" s="46"/>
      <c r="B314" s="36"/>
      <c r="C314" s="35"/>
      <c r="D314" s="24"/>
      <c r="E314" s="35"/>
      <c r="F314" s="35"/>
      <c r="G314" s="36"/>
      <c r="H314" s="36"/>
      <c r="I314" s="36"/>
      <c r="J314" s="36"/>
      <c r="K314" s="36"/>
      <c r="L314" s="36"/>
      <c r="M314" s="36"/>
      <c r="N314" s="35"/>
      <c r="O314" s="35"/>
      <c r="P314" s="35"/>
      <c r="Q314" s="36"/>
      <c r="R314" s="36"/>
      <c r="S314" s="36"/>
      <c r="T314" s="46"/>
      <c r="U314" s="36"/>
      <c r="V314" s="35"/>
      <c r="W314" s="38" t="str">
        <f t="shared" si="4"/>
        <v/>
      </c>
    </row>
    <row r="315" spans="1:23" x14ac:dyDescent="0.35">
      <c r="A315" s="46"/>
      <c r="B315" s="36"/>
      <c r="C315" s="35"/>
      <c r="D315" s="24"/>
      <c r="E315" s="35"/>
      <c r="F315" s="35"/>
      <c r="G315" s="36"/>
      <c r="H315" s="36"/>
      <c r="I315" s="36"/>
      <c r="J315" s="36"/>
      <c r="K315" s="36"/>
      <c r="L315" s="36"/>
      <c r="M315" s="36"/>
      <c r="N315" s="35"/>
      <c r="O315" s="35"/>
      <c r="P315" s="35"/>
      <c r="Q315" s="36"/>
      <c r="R315" s="36"/>
      <c r="S315" s="36"/>
      <c r="T315" s="46"/>
      <c r="U315" s="36"/>
      <c r="V315" s="35"/>
      <c r="W315" s="38" t="str">
        <f t="shared" si="4"/>
        <v/>
      </c>
    </row>
    <row r="316" spans="1:23" x14ac:dyDescent="0.35">
      <c r="A316" s="46"/>
      <c r="B316" s="36"/>
      <c r="C316" s="35"/>
      <c r="D316" s="24"/>
      <c r="E316" s="35"/>
      <c r="F316" s="35"/>
      <c r="G316" s="36"/>
      <c r="H316" s="36"/>
      <c r="I316" s="36"/>
      <c r="J316" s="36"/>
      <c r="K316" s="36"/>
      <c r="L316" s="36"/>
      <c r="M316" s="36"/>
      <c r="N316" s="35"/>
      <c r="O316" s="35"/>
      <c r="P316" s="35"/>
      <c r="Q316" s="36"/>
      <c r="R316" s="36"/>
      <c r="S316" s="36"/>
      <c r="T316" s="46"/>
      <c r="U316" s="36"/>
      <c r="V316" s="35"/>
      <c r="W316" s="38" t="str">
        <f t="shared" si="4"/>
        <v/>
      </c>
    </row>
    <row r="317" spans="1:23" x14ac:dyDescent="0.35">
      <c r="A317" s="46"/>
      <c r="B317" s="36"/>
      <c r="C317" s="35"/>
      <c r="D317" s="24"/>
      <c r="E317" s="35"/>
      <c r="F317" s="35"/>
      <c r="G317" s="36"/>
      <c r="H317" s="36"/>
      <c r="I317" s="36"/>
      <c r="J317" s="36"/>
      <c r="K317" s="36"/>
      <c r="L317" s="36"/>
      <c r="M317" s="36"/>
      <c r="N317" s="35"/>
      <c r="O317" s="35"/>
      <c r="P317" s="35"/>
      <c r="Q317" s="36"/>
      <c r="R317" s="36"/>
      <c r="S317" s="36"/>
      <c r="T317" s="46"/>
      <c r="U317" s="36"/>
      <c r="V317" s="35"/>
      <c r="W317" s="38" t="str">
        <f t="shared" si="4"/>
        <v/>
      </c>
    </row>
    <row r="318" spans="1:23" x14ac:dyDescent="0.35">
      <c r="A318" s="46"/>
      <c r="B318" s="36"/>
      <c r="C318" s="35"/>
      <c r="D318" s="24"/>
      <c r="E318" s="35"/>
      <c r="F318" s="35"/>
      <c r="G318" s="36"/>
      <c r="H318" s="36"/>
      <c r="I318" s="36"/>
      <c r="J318" s="36"/>
      <c r="K318" s="36"/>
      <c r="L318" s="36"/>
      <c r="M318" s="36"/>
      <c r="N318" s="35"/>
      <c r="O318" s="35"/>
      <c r="P318" s="35"/>
      <c r="Q318" s="36"/>
      <c r="R318" s="36"/>
      <c r="S318" s="36"/>
      <c r="T318" s="46"/>
      <c r="U318" s="36"/>
      <c r="V318" s="35"/>
      <c r="W318" s="38" t="str">
        <f t="shared" si="4"/>
        <v/>
      </c>
    </row>
    <row r="319" spans="1:23" x14ac:dyDescent="0.35">
      <c r="A319" s="46"/>
      <c r="B319" s="36"/>
      <c r="C319" s="35"/>
      <c r="D319" s="24"/>
      <c r="E319" s="35"/>
      <c r="F319" s="35"/>
      <c r="G319" s="36"/>
      <c r="H319" s="36"/>
      <c r="I319" s="36"/>
      <c r="J319" s="36"/>
      <c r="K319" s="36"/>
      <c r="L319" s="36"/>
      <c r="M319" s="36"/>
      <c r="N319" s="35"/>
      <c r="O319" s="35"/>
      <c r="P319" s="35"/>
      <c r="Q319" s="36"/>
      <c r="R319" s="36"/>
      <c r="S319" s="36"/>
      <c r="T319" s="46"/>
      <c r="U319" s="36"/>
      <c r="V319" s="35"/>
      <c r="W319" s="38" t="str">
        <f t="shared" si="4"/>
        <v/>
      </c>
    </row>
    <row r="320" spans="1:23" x14ac:dyDescent="0.35">
      <c r="A320" s="46"/>
      <c r="B320" s="36"/>
      <c r="C320" s="35"/>
      <c r="D320" s="24"/>
      <c r="E320" s="35"/>
      <c r="F320" s="35"/>
      <c r="G320" s="36"/>
      <c r="H320" s="36"/>
      <c r="I320" s="36"/>
      <c r="J320" s="36"/>
      <c r="K320" s="36"/>
      <c r="L320" s="36"/>
      <c r="M320" s="36"/>
      <c r="N320" s="35"/>
      <c r="O320" s="35"/>
      <c r="P320" s="35"/>
      <c r="Q320" s="36"/>
      <c r="R320" s="36"/>
      <c r="S320" s="36"/>
      <c r="T320" s="46"/>
      <c r="U320" s="36"/>
      <c r="V320" s="35"/>
      <c r="W320" s="38" t="str">
        <f t="shared" si="4"/>
        <v/>
      </c>
    </row>
    <row r="321" spans="1:23" x14ac:dyDescent="0.35">
      <c r="A321" s="46"/>
      <c r="B321" s="36"/>
      <c r="C321" s="35"/>
      <c r="D321" s="24"/>
      <c r="E321" s="35"/>
      <c r="F321" s="35"/>
      <c r="G321" s="36"/>
      <c r="H321" s="36"/>
      <c r="I321" s="36"/>
      <c r="J321" s="36"/>
      <c r="K321" s="36"/>
      <c r="L321" s="36"/>
      <c r="M321" s="36"/>
      <c r="N321" s="35"/>
      <c r="O321" s="35"/>
      <c r="P321" s="35"/>
      <c r="Q321" s="36"/>
      <c r="R321" s="36"/>
      <c r="S321" s="36"/>
      <c r="T321" s="46"/>
      <c r="U321" s="36"/>
      <c r="V321" s="35"/>
      <c r="W321" s="38" t="str">
        <f t="shared" si="4"/>
        <v/>
      </c>
    </row>
    <row r="322" spans="1:23" x14ac:dyDescent="0.35">
      <c r="A322" s="46"/>
      <c r="B322" s="36"/>
      <c r="C322" s="35"/>
      <c r="D322" s="24"/>
      <c r="E322" s="35"/>
      <c r="F322" s="35"/>
      <c r="G322" s="36"/>
      <c r="H322" s="36"/>
      <c r="I322" s="36"/>
      <c r="J322" s="36"/>
      <c r="K322" s="36"/>
      <c r="L322" s="36"/>
      <c r="M322" s="36"/>
      <c r="N322" s="35"/>
      <c r="O322" s="35"/>
      <c r="P322" s="35"/>
      <c r="Q322" s="36"/>
      <c r="R322" s="36"/>
      <c r="S322" s="36"/>
      <c r="T322" s="46"/>
      <c r="U322" s="36"/>
      <c r="V322" s="35"/>
      <c r="W322" s="38" t="str">
        <f t="shared" si="4"/>
        <v/>
      </c>
    </row>
    <row r="323" spans="1:23" x14ac:dyDescent="0.35">
      <c r="A323" s="46"/>
      <c r="B323" s="36"/>
      <c r="C323" s="35"/>
      <c r="D323" s="24"/>
      <c r="E323" s="35"/>
      <c r="F323" s="35"/>
      <c r="G323" s="36"/>
      <c r="H323" s="36"/>
      <c r="I323" s="36"/>
      <c r="J323" s="36"/>
      <c r="K323" s="36"/>
      <c r="L323" s="36"/>
      <c r="M323" s="36"/>
      <c r="N323" s="35"/>
      <c r="O323" s="35"/>
      <c r="P323" s="35"/>
      <c r="Q323" s="36"/>
      <c r="R323" s="36"/>
      <c r="S323" s="36"/>
      <c r="T323" s="46"/>
      <c r="U323" s="36"/>
      <c r="V323" s="35"/>
      <c r="W323" s="38" t="str">
        <f t="shared" si="4"/>
        <v/>
      </c>
    </row>
    <row r="324" spans="1:23" x14ac:dyDescent="0.35">
      <c r="A324" s="46"/>
      <c r="B324" s="36"/>
      <c r="C324" s="35"/>
      <c r="D324" s="24"/>
      <c r="E324" s="35"/>
      <c r="F324" s="35"/>
      <c r="G324" s="36"/>
      <c r="H324" s="36"/>
      <c r="I324" s="36"/>
      <c r="J324" s="36"/>
      <c r="K324" s="36"/>
      <c r="L324" s="36"/>
      <c r="M324" s="36"/>
      <c r="N324" s="35"/>
      <c r="O324" s="35"/>
      <c r="P324" s="35"/>
      <c r="Q324" s="36"/>
      <c r="R324" s="36"/>
      <c r="S324" s="36"/>
      <c r="T324" s="46"/>
      <c r="U324" s="36"/>
      <c r="V324" s="35"/>
      <c r="W324" s="38" t="str">
        <f t="shared" si="4"/>
        <v/>
      </c>
    </row>
    <row r="325" spans="1:23" x14ac:dyDescent="0.35">
      <c r="A325" s="46"/>
      <c r="B325" s="36"/>
      <c r="C325" s="35"/>
      <c r="D325" s="24"/>
      <c r="E325" s="35"/>
      <c r="F325" s="35"/>
      <c r="G325" s="36"/>
      <c r="H325" s="36"/>
      <c r="I325" s="36"/>
      <c r="J325" s="36"/>
      <c r="K325" s="36"/>
      <c r="L325" s="36"/>
      <c r="M325" s="36"/>
      <c r="N325" s="35"/>
      <c r="O325" s="35"/>
      <c r="P325" s="35"/>
      <c r="Q325" s="36"/>
      <c r="R325" s="36"/>
      <c r="S325" s="36"/>
      <c r="T325" s="46"/>
      <c r="U325" s="36"/>
      <c r="V325" s="35"/>
      <c r="W325" s="38" t="str">
        <f t="shared" si="4"/>
        <v/>
      </c>
    </row>
    <row r="326" spans="1:23" x14ac:dyDescent="0.35">
      <c r="A326" s="46"/>
      <c r="B326" s="36"/>
      <c r="C326" s="35"/>
      <c r="D326" s="24"/>
      <c r="E326" s="35"/>
      <c r="F326" s="35"/>
      <c r="G326" s="36"/>
      <c r="H326" s="36"/>
      <c r="I326" s="36"/>
      <c r="J326" s="36"/>
      <c r="K326" s="36"/>
      <c r="L326" s="36"/>
      <c r="M326" s="36"/>
      <c r="N326" s="35"/>
      <c r="O326" s="35"/>
      <c r="P326" s="35"/>
      <c r="Q326" s="36"/>
      <c r="R326" s="36"/>
      <c r="S326" s="36"/>
      <c r="T326" s="46"/>
      <c r="U326" s="36"/>
      <c r="V326" s="35"/>
      <c r="W326" s="38" t="str">
        <f t="shared" ref="W326:W389" si="5">IF(OR(A326="",C326=""),"",INT(A326)&amp;"|"&amp;C326)</f>
        <v/>
      </c>
    </row>
    <row r="327" spans="1:23" x14ac:dyDescent="0.35">
      <c r="A327" s="46"/>
      <c r="B327" s="36"/>
      <c r="C327" s="35"/>
      <c r="D327" s="24"/>
      <c r="E327" s="35"/>
      <c r="F327" s="35"/>
      <c r="G327" s="36"/>
      <c r="H327" s="36"/>
      <c r="I327" s="36"/>
      <c r="J327" s="36"/>
      <c r="K327" s="36"/>
      <c r="L327" s="36"/>
      <c r="M327" s="36"/>
      <c r="N327" s="35"/>
      <c r="O327" s="35"/>
      <c r="P327" s="35"/>
      <c r="Q327" s="36"/>
      <c r="R327" s="36"/>
      <c r="S327" s="36"/>
      <c r="T327" s="46"/>
      <c r="U327" s="36"/>
      <c r="V327" s="35"/>
      <c r="W327" s="38" t="str">
        <f t="shared" si="5"/>
        <v/>
      </c>
    </row>
    <row r="328" spans="1:23" x14ac:dyDescent="0.35">
      <c r="A328" s="46"/>
      <c r="B328" s="36"/>
      <c r="C328" s="35"/>
      <c r="D328" s="24"/>
      <c r="E328" s="35"/>
      <c r="F328" s="35"/>
      <c r="G328" s="36"/>
      <c r="H328" s="36"/>
      <c r="I328" s="36"/>
      <c r="J328" s="36"/>
      <c r="K328" s="36"/>
      <c r="L328" s="36"/>
      <c r="M328" s="36"/>
      <c r="N328" s="35"/>
      <c r="O328" s="35"/>
      <c r="P328" s="35"/>
      <c r="Q328" s="36"/>
      <c r="R328" s="36"/>
      <c r="S328" s="36"/>
      <c r="T328" s="46"/>
      <c r="U328" s="36"/>
      <c r="V328" s="35"/>
      <c r="W328" s="38" t="str">
        <f t="shared" si="5"/>
        <v/>
      </c>
    </row>
    <row r="329" spans="1:23" x14ac:dyDescent="0.35">
      <c r="A329" s="46"/>
      <c r="B329" s="36"/>
      <c r="C329" s="35"/>
      <c r="D329" s="24"/>
      <c r="E329" s="35"/>
      <c r="F329" s="35"/>
      <c r="G329" s="36"/>
      <c r="H329" s="36"/>
      <c r="I329" s="36"/>
      <c r="J329" s="36"/>
      <c r="K329" s="36"/>
      <c r="L329" s="36"/>
      <c r="M329" s="36"/>
      <c r="N329" s="35"/>
      <c r="O329" s="35"/>
      <c r="P329" s="35"/>
      <c r="Q329" s="36"/>
      <c r="R329" s="36"/>
      <c r="S329" s="36"/>
      <c r="T329" s="46"/>
      <c r="U329" s="36"/>
      <c r="V329" s="35"/>
      <c r="W329" s="38" t="str">
        <f t="shared" si="5"/>
        <v/>
      </c>
    </row>
    <row r="330" spans="1:23" x14ac:dyDescent="0.35">
      <c r="A330" s="46"/>
      <c r="B330" s="36"/>
      <c r="C330" s="35"/>
      <c r="D330" s="24"/>
      <c r="E330" s="35"/>
      <c r="F330" s="35"/>
      <c r="G330" s="36"/>
      <c r="H330" s="36"/>
      <c r="I330" s="36"/>
      <c r="J330" s="36"/>
      <c r="K330" s="36"/>
      <c r="L330" s="36"/>
      <c r="M330" s="36"/>
      <c r="N330" s="35"/>
      <c r="O330" s="35"/>
      <c r="P330" s="35"/>
      <c r="Q330" s="36"/>
      <c r="R330" s="36"/>
      <c r="S330" s="36"/>
      <c r="T330" s="46"/>
      <c r="U330" s="36"/>
      <c r="V330" s="35"/>
      <c r="W330" s="38" t="str">
        <f t="shared" si="5"/>
        <v/>
      </c>
    </row>
    <row r="331" spans="1:23" x14ac:dyDescent="0.35">
      <c r="A331" s="46"/>
      <c r="B331" s="36"/>
      <c r="C331" s="35"/>
      <c r="D331" s="24"/>
      <c r="E331" s="35"/>
      <c r="F331" s="35"/>
      <c r="G331" s="36"/>
      <c r="H331" s="36"/>
      <c r="I331" s="36"/>
      <c r="J331" s="36"/>
      <c r="K331" s="36"/>
      <c r="L331" s="36"/>
      <c r="M331" s="36"/>
      <c r="N331" s="35"/>
      <c r="O331" s="35"/>
      <c r="P331" s="35"/>
      <c r="Q331" s="36"/>
      <c r="R331" s="36"/>
      <c r="S331" s="36"/>
      <c r="T331" s="46"/>
      <c r="U331" s="36"/>
      <c r="V331" s="35"/>
      <c r="W331" s="38" t="str">
        <f t="shared" si="5"/>
        <v/>
      </c>
    </row>
    <row r="332" spans="1:23" x14ac:dyDescent="0.35">
      <c r="A332" s="46"/>
      <c r="B332" s="36"/>
      <c r="C332" s="35"/>
      <c r="D332" s="24"/>
      <c r="E332" s="35"/>
      <c r="F332" s="35"/>
      <c r="G332" s="36"/>
      <c r="H332" s="36"/>
      <c r="I332" s="36"/>
      <c r="J332" s="36"/>
      <c r="K332" s="36"/>
      <c r="L332" s="36"/>
      <c r="M332" s="36"/>
      <c r="N332" s="35"/>
      <c r="O332" s="35"/>
      <c r="P332" s="35"/>
      <c r="Q332" s="36"/>
      <c r="R332" s="36"/>
      <c r="S332" s="36"/>
      <c r="T332" s="46"/>
      <c r="U332" s="36"/>
      <c r="V332" s="35"/>
      <c r="W332" s="38" t="str">
        <f t="shared" si="5"/>
        <v/>
      </c>
    </row>
    <row r="333" spans="1:23" x14ac:dyDescent="0.35">
      <c r="A333" s="46"/>
      <c r="B333" s="36"/>
      <c r="C333" s="35"/>
      <c r="D333" s="24"/>
      <c r="E333" s="35"/>
      <c r="F333" s="35"/>
      <c r="G333" s="36"/>
      <c r="H333" s="36"/>
      <c r="I333" s="36"/>
      <c r="J333" s="36"/>
      <c r="K333" s="36"/>
      <c r="L333" s="36"/>
      <c r="M333" s="36"/>
      <c r="N333" s="35"/>
      <c r="O333" s="35"/>
      <c r="P333" s="35"/>
      <c r="Q333" s="36"/>
      <c r="R333" s="36"/>
      <c r="S333" s="36"/>
      <c r="T333" s="46"/>
      <c r="U333" s="36"/>
      <c r="V333" s="35"/>
      <c r="W333" s="38" t="str">
        <f t="shared" si="5"/>
        <v/>
      </c>
    </row>
    <row r="334" spans="1:23" x14ac:dyDescent="0.35">
      <c r="A334" s="46"/>
      <c r="B334" s="36"/>
      <c r="C334" s="35"/>
      <c r="D334" s="24"/>
      <c r="E334" s="35"/>
      <c r="F334" s="35"/>
      <c r="G334" s="36"/>
      <c r="H334" s="36"/>
      <c r="I334" s="36"/>
      <c r="J334" s="36"/>
      <c r="K334" s="36"/>
      <c r="L334" s="36"/>
      <c r="M334" s="36"/>
      <c r="N334" s="35"/>
      <c r="O334" s="35"/>
      <c r="P334" s="35"/>
      <c r="Q334" s="36"/>
      <c r="R334" s="36"/>
      <c r="S334" s="36"/>
      <c r="T334" s="46"/>
      <c r="U334" s="36"/>
      <c r="V334" s="35"/>
      <c r="W334" s="38" t="str">
        <f t="shared" si="5"/>
        <v/>
      </c>
    </row>
    <row r="335" spans="1:23" x14ac:dyDescent="0.35">
      <c r="A335" s="46"/>
      <c r="B335" s="36"/>
      <c r="C335" s="35"/>
      <c r="D335" s="24"/>
      <c r="E335" s="35"/>
      <c r="F335" s="35"/>
      <c r="G335" s="36"/>
      <c r="H335" s="36"/>
      <c r="I335" s="36"/>
      <c r="J335" s="36"/>
      <c r="K335" s="36"/>
      <c r="L335" s="36"/>
      <c r="M335" s="36"/>
      <c r="N335" s="35"/>
      <c r="O335" s="35"/>
      <c r="P335" s="35"/>
      <c r="Q335" s="36"/>
      <c r="R335" s="36"/>
      <c r="S335" s="36"/>
      <c r="T335" s="46"/>
      <c r="U335" s="36"/>
      <c r="V335" s="35"/>
      <c r="W335" s="38" t="str">
        <f t="shared" si="5"/>
        <v/>
      </c>
    </row>
    <row r="336" spans="1:23" x14ac:dyDescent="0.35">
      <c r="A336" s="46"/>
      <c r="B336" s="36"/>
      <c r="C336" s="35"/>
      <c r="D336" s="24"/>
      <c r="E336" s="35"/>
      <c r="F336" s="35"/>
      <c r="G336" s="36"/>
      <c r="H336" s="36"/>
      <c r="I336" s="36"/>
      <c r="J336" s="36"/>
      <c r="K336" s="36"/>
      <c r="L336" s="36"/>
      <c r="M336" s="36"/>
      <c r="N336" s="35"/>
      <c r="O336" s="35"/>
      <c r="P336" s="35"/>
      <c r="Q336" s="36"/>
      <c r="R336" s="36"/>
      <c r="S336" s="36"/>
      <c r="T336" s="46"/>
      <c r="U336" s="36"/>
      <c r="V336" s="35"/>
      <c r="W336" s="38" t="str">
        <f t="shared" si="5"/>
        <v/>
      </c>
    </row>
    <row r="337" spans="1:23" x14ac:dyDescent="0.35">
      <c r="A337" s="46"/>
      <c r="B337" s="36"/>
      <c r="C337" s="35"/>
      <c r="D337" s="24"/>
      <c r="E337" s="35"/>
      <c r="F337" s="35"/>
      <c r="G337" s="36"/>
      <c r="H337" s="36"/>
      <c r="I337" s="36"/>
      <c r="J337" s="36"/>
      <c r="K337" s="36"/>
      <c r="L337" s="36"/>
      <c r="M337" s="36"/>
      <c r="N337" s="35"/>
      <c r="O337" s="35"/>
      <c r="P337" s="35"/>
      <c r="Q337" s="36"/>
      <c r="R337" s="36"/>
      <c r="S337" s="36"/>
      <c r="T337" s="46"/>
      <c r="U337" s="36"/>
      <c r="V337" s="35"/>
      <c r="W337" s="38" t="str">
        <f t="shared" si="5"/>
        <v/>
      </c>
    </row>
    <row r="338" spans="1:23" x14ac:dyDescent="0.35">
      <c r="A338" s="46"/>
      <c r="B338" s="36"/>
      <c r="C338" s="35"/>
      <c r="D338" s="24"/>
      <c r="E338" s="35"/>
      <c r="F338" s="35"/>
      <c r="G338" s="36"/>
      <c r="H338" s="36"/>
      <c r="I338" s="36"/>
      <c r="J338" s="36"/>
      <c r="K338" s="36"/>
      <c r="L338" s="36"/>
      <c r="M338" s="36"/>
      <c r="N338" s="35"/>
      <c r="O338" s="35"/>
      <c r="P338" s="35"/>
      <c r="Q338" s="36"/>
      <c r="R338" s="36"/>
      <c r="S338" s="36"/>
      <c r="T338" s="46"/>
      <c r="U338" s="36"/>
      <c r="V338" s="35"/>
      <c r="W338" s="38" t="str">
        <f t="shared" si="5"/>
        <v/>
      </c>
    </row>
    <row r="339" spans="1:23" x14ac:dyDescent="0.35">
      <c r="A339" s="46"/>
      <c r="B339" s="36"/>
      <c r="C339" s="35"/>
      <c r="D339" s="24"/>
      <c r="E339" s="35"/>
      <c r="F339" s="35"/>
      <c r="G339" s="36"/>
      <c r="H339" s="36"/>
      <c r="I339" s="36"/>
      <c r="J339" s="36"/>
      <c r="K339" s="36"/>
      <c r="L339" s="36"/>
      <c r="M339" s="36"/>
      <c r="N339" s="35"/>
      <c r="O339" s="35"/>
      <c r="P339" s="35"/>
      <c r="Q339" s="36"/>
      <c r="R339" s="36"/>
      <c r="S339" s="36"/>
      <c r="T339" s="46"/>
      <c r="U339" s="36"/>
      <c r="V339" s="35"/>
      <c r="W339" s="38" t="str">
        <f t="shared" si="5"/>
        <v/>
      </c>
    </row>
    <row r="340" spans="1:23" x14ac:dyDescent="0.35">
      <c r="A340" s="46"/>
      <c r="B340" s="36"/>
      <c r="C340" s="35"/>
      <c r="D340" s="24"/>
      <c r="E340" s="35"/>
      <c r="F340" s="35"/>
      <c r="G340" s="36"/>
      <c r="H340" s="36"/>
      <c r="I340" s="36"/>
      <c r="J340" s="36"/>
      <c r="K340" s="36"/>
      <c r="L340" s="36"/>
      <c r="M340" s="36"/>
      <c r="N340" s="35"/>
      <c r="O340" s="35"/>
      <c r="P340" s="35"/>
      <c r="Q340" s="36"/>
      <c r="R340" s="36"/>
      <c r="S340" s="36"/>
      <c r="T340" s="46"/>
      <c r="U340" s="36"/>
      <c r="V340" s="35"/>
      <c r="W340" s="38" t="str">
        <f t="shared" si="5"/>
        <v/>
      </c>
    </row>
    <row r="341" spans="1:23" x14ac:dyDescent="0.35">
      <c r="A341" s="46"/>
      <c r="B341" s="36"/>
      <c r="C341" s="35"/>
      <c r="D341" s="24"/>
      <c r="E341" s="35"/>
      <c r="F341" s="35"/>
      <c r="G341" s="36"/>
      <c r="H341" s="36"/>
      <c r="I341" s="36"/>
      <c r="J341" s="36"/>
      <c r="K341" s="36"/>
      <c r="L341" s="36"/>
      <c r="M341" s="36"/>
      <c r="N341" s="35"/>
      <c r="O341" s="35"/>
      <c r="P341" s="35"/>
      <c r="Q341" s="36"/>
      <c r="R341" s="36"/>
      <c r="S341" s="36"/>
      <c r="T341" s="46"/>
      <c r="U341" s="36"/>
      <c r="V341" s="35"/>
      <c r="W341" s="38" t="str">
        <f t="shared" si="5"/>
        <v/>
      </c>
    </row>
    <row r="342" spans="1:23" x14ac:dyDescent="0.35">
      <c r="A342" s="46"/>
      <c r="B342" s="36"/>
      <c r="C342" s="35"/>
      <c r="D342" s="24"/>
      <c r="E342" s="35"/>
      <c r="F342" s="35"/>
      <c r="G342" s="36"/>
      <c r="H342" s="36"/>
      <c r="I342" s="36"/>
      <c r="J342" s="36"/>
      <c r="K342" s="36"/>
      <c r="L342" s="36"/>
      <c r="M342" s="36"/>
      <c r="N342" s="35"/>
      <c r="O342" s="35"/>
      <c r="P342" s="35"/>
      <c r="Q342" s="36"/>
      <c r="R342" s="36"/>
      <c r="S342" s="36"/>
      <c r="T342" s="46"/>
      <c r="U342" s="36"/>
      <c r="V342" s="35"/>
      <c r="W342" s="38" t="str">
        <f t="shared" si="5"/>
        <v/>
      </c>
    </row>
    <row r="343" spans="1:23" x14ac:dyDescent="0.35">
      <c r="A343" s="46"/>
      <c r="B343" s="36"/>
      <c r="C343" s="35"/>
      <c r="D343" s="24"/>
      <c r="E343" s="35"/>
      <c r="F343" s="35"/>
      <c r="G343" s="36"/>
      <c r="H343" s="36"/>
      <c r="I343" s="36"/>
      <c r="J343" s="36"/>
      <c r="K343" s="36"/>
      <c r="L343" s="36"/>
      <c r="M343" s="36"/>
      <c r="N343" s="35"/>
      <c r="O343" s="35"/>
      <c r="P343" s="35"/>
      <c r="Q343" s="36"/>
      <c r="R343" s="36"/>
      <c r="S343" s="36"/>
      <c r="T343" s="46"/>
      <c r="U343" s="36"/>
      <c r="V343" s="35"/>
      <c r="W343" s="38" t="str">
        <f t="shared" si="5"/>
        <v/>
      </c>
    </row>
    <row r="344" spans="1:23" x14ac:dyDescent="0.35">
      <c r="A344" s="46"/>
      <c r="B344" s="36"/>
      <c r="C344" s="35"/>
      <c r="D344" s="24"/>
      <c r="E344" s="35"/>
      <c r="F344" s="35"/>
      <c r="G344" s="36"/>
      <c r="H344" s="36"/>
      <c r="I344" s="36"/>
      <c r="J344" s="36"/>
      <c r="K344" s="36"/>
      <c r="L344" s="36"/>
      <c r="M344" s="36"/>
      <c r="N344" s="35"/>
      <c r="O344" s="35"/>
      <c r="P344" s="35"/>
      <c r="Q344" s="36"/>
      <c r="R344" s="36"/>
      <c r="S344" s="36"/>
      <c r="T344" s="46"/>
      <c r="U344" s="36"/>
      <c r="V344" s="35"/>
      <c r="W344" s="38" t="str">
        <f t="shared" si="5"/>
        <v/>
      </c>
    </row>
    <row r="345" spans="1:23" x14ac:dyDescent="0.35">
      <c r="A345" s="46"/>
      <c r="B345" s="36"/>
      <c r="C345" s="35"/>
      <c r="D345" s="24"/>
      <c r="E345" s="35"/>
      <c r="F345" s="35"/>
      <c r="G345" s="36"/>
      <c r="H345" s="36"/>
      <c r="I345" s="36"/>
      <c r="J345" s="36"/>
      <c r="K345" s="36"/>
      <c r="L345" s="36"/>
      <c r="M345" s="36"/>
      <c r="N345" s="35"/>
      <c r="O345" s="35"/>
      <c r="P345" s="35"/>
      <c r="Q345" s="36"/>
      <c r="R345" s="36"/>
      <c r="S345" s="36"/>
      <c r="T345" s="46"/>
      <c r="U345" s="36"/>
      <c r="V345" s="35"/>
      <c r="W345" s="38" t="str">
        <f t="shared" si="5"/>
        <v/>
      </c>
    </row>
    <row r="346" spans="1:23" x14ac:dyDescent="0.35">
      <c r="A346" s="46"/>
      <c r="B346" s="36"/>
      <c r="C346" s="35"/>
      <c r="D346" s="24"/>
      <c r="E346" s="35"/>
      <c r="F346" s="35"/>
      <c r="G346" s="36"/>
      <c r="H346" s="36"/>
      <c r="I346" s="36"/>
      <c r="J346" s="36"/>
      <c r="K346" s="36"/>
      <c r="L346" s="36"/>
      <c r="M346" s="36"/>
      <c r="N346" s="35"/>
      <c r="O346" s="35"/>
      <c r="P346" s="35"/>
      <c r="Q346" s="36"/>
      <c r="R346" s="36"/>
      <c r="S346" s="36"/>
      <c r="T346" s="46"/>
      <c r="U346" s="36"/>
      <c r="V346" s="35"/>
      <c r="W346" s="38" t="str">
        <f t="shared" si="5"/>
        <v/>
      </c>
    </row>
    <row r="347" spans="1:23" x14ac:dyDescent="0.35">
      <c r="A347" s="46"/>
      <c r="B347" s="36"/>
      <c r="C347" s="35"/>
      <c r="D347" s="24"/>
      <c r="E347" s="35"/>
      <c r="F347" s="35"/>
      <c r="G347" s="36"/>
      <c r="H347" s="36"/>
      <c r="I347" s="36"/>
      <c r="J347" s="36"/>
      <c r="K347" s="36"/>
      <c r="L347" s="36"/>
      <c r="M347" s="36"/>
      <c r="N347" s="35"/>
      <c r="O347" s="35"/>
      <c r="P347" s="35"/>
      <c r="Q347" s="36"/>
      <c r="R347" s="36"/>
      <c r="S347" s="36"/>
      <c r="T347" s="46"/>
      <c r="U347" s="36"/>
      <c r="V347" s="35"/>
      <c r="W347" s="38" t="str">
        <f t="shared" si="5"/>
        <v/>
      </c>
    </row>
    <row r="348" spans="1:23" x14ac:dyDescent="0.35">
      <c r="A348" s="46"/>
      <c r="B348" s="36"/>
      <c r="C348" s="35"/>
      <c r="D348" s="24"/>
      <c r="E348" s="35"/>
      <c r="F348" s="35"/>
      <c r="G348" s="36"/>
      <c r="H348" s="36"/>
      <c r="I348" s="36"/>
      <c r="J348" s="36"/>
      <c r="K348" s="36"/>
      <c r="L348" s="36"/>
      <c r="M348" s="36"/>
      <c r="N348" s="35"/>
      <c r="O348" s="35"/>
      <c r="P348" s="35"/>
      <c r="Q348" s="36"/>
      <c r="R348" s="36"/>
      <c r="S348" s="36"/>
      <c r="T348" s="46"/>
      <c r="U348" s="36"/>
      <c r="V348" s="35"/>
      <c r="W348" s="38" t="str">
        <f t="shared" si="5"/>
        <v/>
      </c>
    </row>
    <row r="349" spans="1:23" x14ac:dyDescent="0.35">
      <c r="A349" s="46"/>
      <c r="B349" s="36"/>
      <c r="C349" s="35"/>
      <c r="D349" s="24"/>
      <c r="E349" s="35"/>
      <c r="F349" s="35"/>
      <c r="G349" s="36"/>
      <c r="H349" s="36"/>
      <c r="I349" s="36"/>
      <c r="J349" s="36"/>
      <c r="K349" s="36"/>
      <c r="L349" s="36"/>
      <c r="M349" s="36"/>
      <c r="N349" s="35"/>
      <c r="O349" s="35"/>
      <c r="P349" s="35"/>
      <c r="Q349" s="36"/>
      <c r="R349" s="36"/>
      <c r="S349" s="36"/>
      <c r="T349" s="46"/>
      <c r="U349" s="36"/>
      <c r="V349" s="35"/>
      <c r="W349" s="38" t="str">
        <f t="shared" si="5"/>
        <v/>
      </c>
    </row>
    <row r="350" spans="1:23" x14ac:dyDescent="0.35">
      <c r="A350" s="46"/>
      <c r="B350" s="36"/>
      <c r="C350" s="35"/>
      <c r="D350" s="24"/>
      <c r="E350" s="35"/>
      <c r="F350" s="35"/>
      <c r="G350" s="36"/>
      <c r="H350" s="36"/>
      <c r="I350" s="36"/>
      <c r="J350" s="36"/>
      <c r="K350" s="36"/>
      <c r="L350" s="36"/>
      <c r="M350" s="36"/>
      <c r="N350" s="35"/>
      <c r="O350" s="35"/>
      <c r="P350" s="35"/>
      <c r="Q350" s="36"/>
      <c r="R350" s="36"/>
      <c r="S350" s="36"/>
      <c r="T350" s="46"/>
      <c r="U350" s="36"/>
      <c r="V350" s="35"/>
      <c r="W350" s="38" t="str">
        <f t="shared" si="5"/>
        <v/>
      </c>
    </row>
    <row r="351" spans="1:23" x14ac:dyDescent="0.35">
      <c r="A351" s="46"/>
      <c r="B351" s="36"/>
      <c r="C351" s="35"/>
      <c r="D351" s="24"/>
      <c r="E351" s="35"/>
      <c r="F351" s="35"/>
      <c r="G351" s="36"/>
      <c r="H351" s="36"/>
      <c r="I351" s="36"/>
      <c r="J351" s="36"/>
      <c r="K351" s="36"/>
      <c r="L351" s="36"/>
      <c r="M351" s="36"/>
      <c r="N351" s="35"/>
      <c r="O351" s="35"/>
      <c r="P351" s="35"/>
      <c r="Q351" s="36"/>
      <c r="R351" s="36"/>
      <c r="S351" s="36"/>
      <c r="T351" s="46"/>
      <c r="U351" s="36"/>
      <c r="V351" s="35"/>
      <c r="W351" s="38" t="str">
        <f t="shared" si="5"/>
        <v/>
      </c>
    </row>
    <row r="352" spans="1:23" x14ac:dyDescent="0.35">
      <c r="A352" s="46"/>
      <c r="B352" s="36"/>
      <c r="C352" s="35"/>
      <c r="D352" s="24"/>
      <c r="E352" s="35"/>
      <c r="F352" s="35"/>
      <c r="G352" s="36"/>
      <c r="H352" s="36"/>
      <c r="I352" s="36"/>
      <c r="J352" s="36"/>
      <c r="K352" s="36"/>
      <c r="L352" s="36"/>
      <c r="M352" s="36"/>
      <c r="N352" s="35"/>
      <c r="O352" s="35"/>
      <c r="P352" s="35"/>
      <c r="Q352" s="36"/>
      <c r="R352" s="36"/>
      <c r="S352" s="36"/>
      <c r="T352" s="46"/>
      <c r="U352" s="36"/>
      <c r="V352" s="35"/>
      <c r="W352" s="38" t="str">
        <f t="shared" si="5"/>
        <v/>
      </c>
    </row>
    <row r="353" spans="1:23" x14ac:dyDescent="0.35">
      <c r="A353" s="46"/>
      <c r="B353" s="36"/>
      <c r="C353" s="35"/>
      <c r="D353" s="24"/>
      <c r="E353" s="35"/>
      <c r="F353" s="35"/>
      <c r="G353" s="36"/>
      <c r="H353" s="36"/>
      <c r="I353" s="36"/>
      <c r="J353" s="36"/>
      <c r="K353" s="36"/>
      <c r="L353" s="36"/>
      <c r="M353" s="36"/>
      <c r="N353" s="35"/>
      <c r="O353" s="35"/>
      <c r="P353" s="35"/>
      <c r="Q353" s="36"/>
      <c r="R353" s="36"/>
      <c r="S353" s="36"/>
      <c r="T353" s="46"/>
      <c r="U353" s="36"/>
      <c r="V353" s="35"/>
      <c r="W353" s="38" t="str">
        <f t="shared" si="5"/>
        <v/>
      </c>
    </row>
    <row r="354" spans="1:23" x14ac:dyDescent="0.35">
      <c r="A354" s="46"/>
      <c r="B354" s="36"/>
      <c r="C354" s="35"/>
      <c r="D354" s="24"/>
      <c r="E354" s="35"/>
      <c r="F354" s="35"/>
      <c r="G354" s="36"/>
      <c r="H354" s="36"/>
      <c r="I354" s="36"/>
      <c r="J354" s="36"/>
      <c r="K354" s="36"/>
      <c r="L354" s="36"/>
      <c r="M354" s="36"/>
      <c r="N354" s="35"/>
      <c r="O354" s="35"/>
      <c r="P354" s="35"/>
      <c r="Q354" s="36"/>
      <c r="R354" s="36"/>
      <c r="S354" s="36"/>
      <c r="T354" s="46"/>
      <c r="U354" s="36"/>
      <c r="V354" s="35"/>
      <c r="W354" s="38" t="str">
        <f t="shared" si="5"/>
        <v/>
      </c>
    </row>
    <row r="355" spans="1:23" x14ac:dyDescent="0.35">
      <c r="A355" s="46"/>
      <c r="B355" s="36"/>
      <c r="C355" s="35"/>
      <c r="D355" s="24"/>
      <c r="E355" s="35"/>
      <c r="F355" s="35"/>
      <c r="G355" s="36"/>
      <c r="H355" s="36"/>
      <c r="I355" s="36"/>
      <c r="J355" s="36"/>
      <c r="K355" s="36"/>
      <c r="L355" s="36"/>
      <c r="M355" s="36"/>
      <c r="N355" s="35"/>
      <c r="O355" s="35"/>
      <c r="P355" s="35"/>
      <c r="Q355" s="36"/>
      <c r="R355" s="36"/>
      <c r="S355" s="36"/>
      <c r="T355" s="46"/>
      <c r="U355" s="36"/>
      <c r="V355" s="35"/>
      <c r="W355" s="38" t="str">
        <f t="shared" si="5"/>
        <v/>
      </c>
    </row>
    <row r="356" spans="1:23" x14ac:dyDescent="0.35">
      <c r="A356" s="46"/>
      <c r="B356" s="36"/>
      <c r="C356" s="35"/>
      <c r="D356" s="24"/>
      <c r="E356" s="35"/>
      <c r="F356" s="35"/>
      <c r="G356" s="36"/>
      <c r="H356" s="36"/>
      <c r="I356" s="36"/>
      <c r="J356" s="36"/>
      <c r="K356" s="36"/>
      <c r="L356" s="36"/>
      <c r="M356" s="36"/>
      <c r="N356" s="35"/>
      <c r="O356" s="35"/>
      <c r="P356" s="35"/>
      <c r="Q356" s="36"/>
      <c r="R356" s="36"/>
      <c r="S356" s="36"/>
      <c r="T356" s="46"/>
      <c r="U356" s="36"/>
      <c r="V356" s="35"/>
      <c r="W356" s="38" t="str">
        <f t="shared" si="5"/>
        <v/>
      </c>
    </row>
    <row r="357" spans="1:23" x14ac:dyDescent="0.35">
      <c r="A357" s="46"/>
      <c r="B357" s="36"/>
      <c r="C357" s="35"/>
      <c r="D357" s="24"/>
      <c r="E357" s="35"/>
      <c r="F357" s="35"/>
      <c r="G357" s="36"/>
      <c r="H357" s="36"/>
      <c r="I357" s="36"/>
      <c r="J357" s="36"/>
      <c r="K357" s="36"/>
      <c r="L357" s="36"/>
      <c r="M357" s="36"/>
      <c r="N357" s="35"/>
      <c r="O357" s="35"/>
      <c r="P357" s="35"/>
      <c r="Q357" s="36"/>
      <c r="R357" s="36"/>
      <c r="S357" s="36"/>
      <c r="T357" s="46"/>
      <c r="U357" s="36"/>
      <c r="V357" s="35"/>
      <c r="W357" s="38" t="str">
        <f t="shared" si="5"/>
        <v/>
      </c>
    </row>
    <row r="358" spans="1:23" x14ac:dyDescent="0.35">
      <c r="A358" s="46"/>
      <c r="B358" s="36"/>
      <c r="C358" s="35"/>
      <c r="D358" s="24"/>
      <c r="E358" s="35"/>
      <c r="F358" s="35"/>
      <c r="G358" s="36"/>
      <c r="H358" s="36"/>
      <c r="I358" s="36"/>
      <c r="J358" s="36"/>
      <c r="K358" s="36"/>
      <c r="L358" s="36"/>
      <c r="M358" s="36"/>
      <c r="N358" s="35"/>
      <c r="O358" s="35"/>
      <c r="P358" s="35"/>
      <c r="Q358" s="36"/>
      <c r="R358" s="36"/>
      <c r="S358" s="36"/>
      <c r="T358" s="46"/>
      <c r="U358" s="36"/>
      <c r="V358" s="35"/>
      <c r="W358" s="38" t="str">
        <f t="shared" si="5"/>
        <v/>
      </c>
    </row>
    <row r="359" spans="1:23" x14ac:dyDescent="0.35">
      <c r="A359" s="46"/>
      <c r="B359" s="36"/>
      <c r="C359" s="35"/>
      <c r="D359" s="24"/>
      <c r="E359" s="35"/>
      <c r="F359" s="35"/>
      <c r="G359" s="36"/>
      <c r="H359" s="36"/>
      <c r="I359" s="36"/>
      <c r="J359" s="36"/>
      <c r="K359" s="36"/>
      <c r="L359" s="36"/>
      <c r="M359" s="36"/>
      <c r="N359" s="35"/>
      <c r="O359" s="35"/>
      <c r="P359" s="35"/>
      <c r="Q359" s="36"/>
      <c r="R359" s="36"/>
      <c r="S359" s="36"/>
      <c r="T359" s="46"/>
      <c r="U359" s="36"/>
      <c r="V359" s="35"/>
      <c r="W359" s="38" t="str">
        <f t="shared" si="5"/>
        <v/>
      </c>
    </row>
    <row r="360" spans="1:23" x14ac:dyDescent="0.35">
      <c r="A360" s="46"/>
      <c r="B360" s="36"/>
      <c r="C360" s="35"/>
      <c r="D360" s="24"/>
      <c r="E360" s="35"/>
      <c r="F360" s="35"/>
      <c r="G360" s="36"/>
      <c r="H360" s="36"/>
      <c r="I360" s="36"/>
      <c r="J360" s="36"/>
      <c r="K360" s="36"/>
      <c r="L360" s="36"/>
      <c r="M360" s="36"/>
      <c r="N360" s="35"/>
      <c r="O360" s="35"/>
      <c r="P360" s="35"/>
      <c r="Q360" s="36"/>
      <c r="R360" s="36"/>
      <c r="S360" s="36"/>
      <c r="T360" s="46"/>
      <c r="U360" s="36"/>
      <c r="V360" s="35"/>
      <c r="W360" s="38" t="str">
        <f t="shared" si="5"/>
        <v/>
      </c>
    </row>
    <row r="361" spans="1:23" x14ac:dyDescent="0.35">
      <c r="A361" s="46"/>
      <c r="B361" s="36"/>
      <c r="C361" s="35"/>
      <c r="D361" s="24"/>
      <c r="E361" s="35"/>
      <c r="F361" s="35"/>
      <c r="G361" s="36"/>
      <c r="H361" s="36"/>
      <c r="I361" s="36"/>
      <c r="J361" s="36"/>
      <c r="K361" s="36"/>
      <c r="L361" s="36"/>
      <c r="M361" s="36"/>
      <c r="N361" s="35"/>
      <c r="O361" s="35"/>
      <c r="P361" s="35"/>
      <c r="Q361" s="36"/>
      <c r="R361" s="36"/>
      <c r="S361" s="36"/>
      <c r="T361" s="46"/>
      <c r="U361" s="36"/>
      <c r="V361" s="35"/>
      <c r="W361" s="38" t="str">
        <f t="shared" si="5"/>
        <v/>
      </c>
    </row>
    <row r="362" spans="1:23" x14ac:dyDescent="0.35">
      <c r="A362" s="46"/>
      <c r="B362" s="36"/>
      <c r="C362" s="35"/>
      <c r="D362" s="24"/>
      <c r="E362" s="35"/>
      <c r="F362" s="35"/>
      <c r="G362" s="36"/>
      <c r="H362" s="36"/>
      <c r="I362" s="36"/>
      <c r="J362" s="36"/>
      <c r="K362" s="36"/>
      <c r="L362" s="36"/>
      <c r="M362" s="36"/>
      <c r="N362" s="35"/>
      <c r="O362" s="35"/>
      <c r="P362" s="35"/>
      <c r="Q362" s="36"/>
      <c r="R362" s="36"/>
      <c r="S362" s="36"/>
      <c r="T362" s="46"/>
      <c r="U362" s="36"/>
      <c r="V362" s="35"/>
      <c r="W362" s="38" t="str">
        <f t="shared" si="5"/>
        <v/>
      </c>
    </row>
    <row r="363" spans="1:23" x14ac:dyDescent="0.35">
      <c r="A363" s="46"/>
      <c r="B363" s="36"/>
      <c r="C363" s="35"/>
      <c r="D363" s="24"/>
      <c r="E363" s="35"/>
      <c r="F363" s="35"/>
      <c r="G363" s="36"/>
      <c r="H363" s="36"/>
      <c r="I363" s="36"/>
      <c r="J363" s="36"/>
      <c r="K363" s="36"/>
      <c r="L363" s="36"/>
      <c r="M363" s="36"/>
      <c r="N363" s="35"/>
      <c r="O363" s="35"/>
      <c r="P363" s="35"/>
      <c r="Q363" s="36"/>
      <c r="R363" s="36"/>
      <c r="S363" s="36"/>
      <c r="T363" s="46"/>
      <c r="U363" s="36"/>
      <c r="V363" s="35"/>
      <c r="W363" s="38" t="str">
        <f t="shared" si="5"/>
        <v/>
      </c>
    </row>
    <row r="364" spans="1:23" x14ac:dyDescent="0.35">
      <c r="A364" s="46"/>
      <c r="B364" s="36"/>
      <c r="C364" s="35"/>
      <c r="D364" s="24"/>
      <c r="E364" s="35"/>
      <c r="F364" s="35"/>
      <c r="G364" s="36"/>
      <c r="H364" s="36"/>
      <c r="I364" s="36"/>
      <c r="J364" s="36"/>
      <c r="K364" s="36"/>
      <c r="L364" s="36"/>
      <c r="M364" s="36"/>
      <c r="N364" s="35"/>
      <c r="O364" s="35"/>
      <c r="P364" s="35"/>
      <c r="Q364" s="36"/>
      <c r="R364" s="36"/>
      <c r="S364" s="36"/>
      <c r="T364" s="46"/>
      <c r="U364" s="36"/>
      <c r="V364" s="35"/>
      <c r="W364" s="38" t="str">
        <f t="shared" si="5"/>
        <v/>
      </c>
    </row>
    <row r="365" spans="1:23" x14ac:dyDescent="0.35">
      <c r="A365" s="46"/>
      <c r="B365" s="36"/>
      <c r="C365" s="35"/>
      <c r="D365" s="24"/>
      <c r="E365" s="35"/>
      <c r="F365" s="35"/>
      <c r="G365" s="36"/>
      <c r="H365" s="36"/>
      <c r="I365" s="36"/>
      <c r="J365" s="36"/>
      <c r="K365" s="36"/>
      <c r="L365" s="36"/>
      <c r="M365" s="36"/>
      <c r="N365" s="35"/>
      <c r="O365" s="35"/>
      <c r="P365" s="35"/>
      <c r="Q365" s="36"/>
      <c r="R365" s="36"/>
      <c r="S365" s="36"/>
      <c r="T365" s="46"/>
      <c r="U365" s="36"/>
      <c r="V365" s="35"/>
      <c r="W365" s="38" t="str">
        <f t="shared" si="5"/>
        <v/>
      </c>
    </row>
    <row r="366" spans="1:23" x14ac:dyDescent="0.35">
      <c r="A366" s="46"/>
      <c r="B366" s="36"/>
      <c r="C366" s="35"/>
      <c r="D366" s="24"/>
      <c r="E366" s="35"/>
      <c r="F366" s="35"/>
      <c r="G366" s="36"/>
      <c r="H366" s="36"/>
      <c r="I366" s="36"/>
      <c r="J366" s="36"/>
      <c r="K366" s="36"/>
      <c r="L366" s="36"/>
      <c r="M366" s="36"/>
      <c r="N366" s="35"/>
      <c r="O366" s="35"/>
      <c r="P366" s="35"/>
      <c r="Q366" s="36"/>
      <c r="R366" s="36"/>
      <c r="S366" s="36"/>
      <c r="T366" s="46"/>
      <c r="U366" s="36"/>
      <c r="V366" s="35"/>
      <c r="W366" s="38" t="str">
        <f t="shared" si="5"/>
        <v/>
      </c>
    </row>
    <row r="367" spans="1:23" x14ac:dyDescent="0.35">
      <c r="A367" s="46"/>
      <c r="B367" s="36"/>
      <c r="C367" s="35"/>
      <c r="D367" s="24"/>
      <c r="E367" s="35"/>
      <c r="F367" s="35"/>
      <c r="G367" s="36"/>
      <c r="H367" s="36"/>
      <c r="I367" s="36"/>
      <c r="J367" s="36"/>
      <c r="K367" s="36"/>
      <c r="L367" s="36"/>
      <c r="M367" s="36"/>
      <c r="N367" s="35"/>
      <c r="O367" s="35"/>
      <c r="P367" s="35"/>
      <c r="Q367" s="36"/>
      <c r="R367" s="36"/>
      <c r="S367" s="36"/>
      <c r="T367" s="46"/>
      <c r="U367" s="36"/>
      <c r="V367" s="35"/>
      <c r="W367" s="38" t="str">
        <f t="shared" si="5"/>
        <v/>
      </c>
    </row>
    <row r="368" spans="1:23" x14ac:dyDescent="0.35">
      <c r="A368" s="46"/>
      <c r="B368" s="36"/>
      <c r="C368" s="35"/>
      <c r="D368" s="24"/>
      <c r="E368" s="35"/>
      <c r="F368" s="35"/>
      <c r="G368" s="36"/>
      <c r="H368" s="36"/>
      <c r="I368" s="36"/>
      <c r="J368" s="36"/>
      <c r="K368" s="36"/>
      <c r="L368" s="36"/>
      <c r="M368" s="36"/>
      <c r="N368" s="35"/>
      <c r="O368" s="35"/>
      <c r="P368" s="35"/>
      <c r="Q368" s="36"/>
      <c r="R368" s="36"/>
      <c r="S368" s="36"/>
      <c r="T368" s="46"/>
      <c r="U368" s="36"/>
      <c r="V368" s="35"/>
      <c r="W368" s="38" t="str">
        <f t="shared" si="5"/>
        <v/>
      </c>
    </row>
    <row r="369" spans="1:23" x14ac:dyDescent="0.35">
      <c r="A369" s="46"/>
      <c r="B369" s="36"/>
      <c r="C369" s="35"/>
      <c r="D369" s="24"/>
      <c r="E369" s="35"/>
      <c r="F369" s="35"/>
      <c r="G369" s="36"/>
      <c r="H369" s="36"/>
      <c r="I369" s="36"/>
      <c r="J369" s="36"/>
      <c r="K369" s="36"/>
      <c r="L369" s="36"/>
      <c r="M369" s="36"/>
      <c r="N369" s="35"/>
      <c r="O369" s="35"/>
      <c r="P369" s="35"/>
      <c r="Q369" s="36"/>
      <c r="R369" s="36"/>
      <c r="S369" s="36"/>
      <c r="T369" s="46"/>
      <c r="U369" s="36"/>
      <c r="V369" s="35"/>
      <c r="W369" s="38" t="str">
        <f t="shared" si="5"/>
        <v/>
      </c>
    </row>
    <row r="370" spans="1:23" x14ac:dyDescent="0.35">
      <c r="A370" s="46"/>
      <c r="B370" s="36"/>
      <c r="C370" s="35"/>
      <c r="D370" s="24"/>
      <c r="E370" s="35"/>
      <c r="F370" s="35"/>
      <c r="G370" s="36"/>
      <c r="H370" s="36"/>
      <c r="I370" s="36"/>
      <c r="J370" s="36"/>
      <c r="K370" s="36"/>
      <c r="L370" s="36"/>
      <c r="M370" s="36"/>
      <c r="N370" s="35"/>
      <c r="O370" s="35"/>
      <c r="P370" s="35"/>
      <c r="Q370" s="36"/>
      <c r="R370" s="36"/>
      <c r="S370" s="36"/>
      <c r="T370" s="46"/>
      <c r="U370" s="36"/>
      <c r="V370" s="35"/>
      <c r="W370" s="38" t="str">
        <f t="shared" si="5"/>
        <v/>
      </c>
    </row>
    <row r="371" spans="1:23" x14ac:dyDescent="0.35">
      <c r="A371" s="46"/>
      <c r="B371" s="36"/>
      <c r="C371" s="35"/>
      <c r="D371" s="24"/>
      <c r="E371" s="35"/>
      <c r="F371" s="35"/>
      <c r="G371" s="36"/>
      <c r="H371" s="36"/>
      <c r="I371" s="36"/>
      <c r="J371" s="36"/>
      <c r="K371" s="36"/>
      <c r="L371" s="36"/>
      <c r="M371" s="36"/>
      <c r="N371" s="35"/>
      <c r="O371" s="35"/>
      <c r="P371" s="35"/>
      <c r="Q371" s="36"/>
      <c r="R371" s="36"/>
      <c r="S371" s="36"/>
      <c r="T371" s="46"/>
      <c r="U371" s="36"/>
      <c r="V371" s="35"/>
      <c r="W371" s="38" t="str">
        <f t="shared" si="5"/>
        <v/>
      </c>
    </row>
    <row r="372" spans="1:23" x14ac:dyDescent="0.35">
      <c r="A372" s="46"/>
      <c r="B372" s="36"/>
      <c r="C372" s="35"/>
      <c r="D372" s="24"/>
      <c r="E372" s="35"/>
      <c r="F372" s="35"/>
      <c r="G372" s="36"/>
      <c r="H372" s="36"/>
      <c r="I372" s="36"/>
      <c r="J372" s="36"/>
      <c r="K372" s="36"/>
      <c r="L372" s="36"/>
      <c r="M372" s="36"/>
      <c r="N372" s="35"/>
      <c r="O372" s="35"/>
      <c r="P372" s="35"/>
      <c r="Q372" s="36"/>
      <c r="R372" s="36"/>
      <c r="S372" s="36"/>
      <c r="T372" s="46"/>
      <c r="U372" s="36"/>
      <c r="V372" s="35"/>
      <c r="W372" s="38" t="str">
        <f t="shared" si="5"/>
        <v/>
      </c>
    </row>
    <row r="373" spans="1:23" x14ac:dyDescent="0.35">
      <c r="A373" s="46"/>
      <c r="B373" s="36"/>
      <c r="C373" s="35"/>
      <c r="D373" s="24"/>
      <c r="E373" s="35"/>
      <c r="F373" s="35"/>
      <c r="G373" s="36"/>
      <c r="H373" s="36"/>
      <c r="I373" s="36"/>
      <c r="J373" s="36"/>
      <c r="K373" s="36"/>
      <c r="L373" s="36"/>
      <c r="M373" s="36"/>
      <c r="N373" s="35"/>
      <c r="O373" s="35"/>
      <c r="P373" s="35"/>
      <c r="Q373" s="36"/>
      <c r="R373" s="36"/>
      <c r="S373" s="36"/>
      <c r="T373" s="46"/>
      <c r="U373" s="36"/>
      <c r="V373" s="35"/>
      <c r="W373" s="38" t="str">
        <f t="shared" si="5"/>
        <v/>
      </c>
    </row>
    <row r="374" spans="1:23" x14ac:dyDescent="0.35">
      <c r="A374" s="46"/>
      <c r="B374" s="36"/>
      <c r="C374" s="35"/>
      <c r="D374" s="24"/>
      <c r="E374" s="35"/>
      <c r="F374" s="35"/>
      <c r="G374" s="36"/>
      <c r="H374" s="36"/>
      <c r="I374" s="36"/>
      <c r="J374" s="36"/>
      <c r="K374" s="36"/>
      <c r="L374" s="36"/>
      <c r="M374" s="36"/>
      <c r="N374" s="35"/>
      <c r="O374" s="35"/>
      <c r="P374" s="35"/>
      <c r="Q374" s="36"/>
      <c r="R374" s="36"/>
      <c r="S374" s="36"/>
      <c r="T374" s="46"/>
      <c r="U374" s="36"/>
      <c r="V374" s="35"/>
      <c r="W374" s="38" t="str">
        <f t="shared" si="5"/>
        <v/>
      </c>
    </row>
    <row r="375" spans="1:23" x14ac:dyDescent="0.35">
      <c r="A375" s="46"/>
      <c r="B375" s="36"/>
      <c r="C375" s="35"/>
      <c r="D375" s="24"/>
      <c r="E375" s="35"/>
      <c r="F375" s="35"/>
      <c r="G375" s="36"/>
      <c r="H375" s="36"/>
      <c r="I375" s="36"/>
      <c r="J375" s="36"/>
      <c r="K375" s="36"/>
      <c r="L375" s="36"/>
      <c r="M375" s="36"/>
      <c r="N375" s="35"/>
      <c r="O375" s="35"/>
      <c r="P375" s="35"/>
      <c r="Q375" s="36"/>
      <c r="R375" s="36"/>
      <c r="S375" s="36"/>
      <c r="T375" s="46"/>
      <c r="U375" s="36"/>
      <c r="V375" s="35"/>
      <c r="W375" s="38" t="str">
        <f t="shared" si="5"/>
        <v/>
      </c>
    </row>
    <row r="376" spans="1:23" x14ac:dyDescent="0.35">
      <c r="A376" s="46"/>
      <c r="B376" s="36"/>
      <c r="C376" s="35"/>
      <c r="D376" s="24"/>
      <c r="E376" s="35"/>
      <c r="F376" s="35"/>
      <c r="G376" s="36"/>
      <c r="H376" s="36"/>
      <c r="I376" s="36"/>
      <c r="J376" s="36"/>
      <c r="K376" s="36"/>
      <c r="L376" s="36"/>
      <c r="M376" s="36"/>
      <c r="N376" s="35"/>
      <c r="O376" s="35"/>
      <c r="P376" s="35"/>
      <c r="Q376" s="36"/>
      <c r="R376" s="36"/>
      <c r="S376" s="36"/>
      <c r="T376" s="46"/>
      <c r="U376" s="36"/>
      <c r="V376" s="35"/>
      <c r="W376" s="38" t="str">
        <f t="shared" si="5"/>
        <v/>
      </c>
    </row>
    <row r="377" spans="1:23" x14ac:dyDescent="0.35">
      <c r="A377" s="46"/>
      <c r="B377" s="36"/>
      <c r="C377" s="35"/>
      <c r="D377" s="24"/>
      <c r="E377" s="35"/>
      <c r="F377" s="35"/>
      <c r="G377" s="36"/>
      <c r="H377" s="36"/>
      <c r="I377" s="36"/>
      <c r="J377" s="36"/>
      <c r="K377" s="36"/>
      <c r="L377" s="36"/>
      <c r="M377" s="36"/>
      <c r="N377" s="35"/>
      <c r="O377" s="35"/>
      <c r="P377" s="35"/>
      <c r="Q377" s="36"/>
      <c r="R377" s="36"/>
      <c r="S377" s="36"/>
      <c r="T377" s="46"/>
      <c r="U377" s="36"/>
      <c r="V377" s="35"/>
      <c r="W377" s="38" t="str">
        <f t="shared" si="5"/>
        <v/>
      </c>
    </row>
    <row r="378" spans="1:23" x14ac:dyDescent="0.35">
      <c r="A378" s="46"/>
      <c r="B378" s="36"/>
      <c r="C378" s="35"/>
      <c r="D378" s="24"/>
      <c r="E378" s="35"/>
      <c r="F378" s="35"/>
      <c r="G378" s="36"/>
      <c r="H378" s="36"/>
      <c r="I378" s="36"/>
      <c r="J378" s="36"/>
      <c r="K378" s="36"/>
      <c r="L378" s="36"/>
      <c r="M378" s="36"/>
      <c r="N378" s="35"/>
      <c r="O378" s="35"/>
      <c r="P378" s="35"/>
      <c r="Q378" s="36"/>
      <c r="R378" s="36"/>
      <c r="S378" s="36"/>
      <c r="T378" s="46"/>
      <c r="U378" s="36"/>
      <c r="V378" s="35"/>
      <c r="W378" s="38" t="str">
        <f t="shared" si="5"/>
        <v/>
      </c>
    </row>
    <row r="379" spans="1:23" x14ac:dyDescent="0.35">
      <c r="A379" s="46"/>
      <c r="B379" s="36"/>
      <c r="C379" s="35"/>
      <c r="D379" s="24"/>
      <c r="E379" s="35"/>
      <c r="F379" s="35"/>
      <c r="G379" s="36"/>
      <c r="H379" s="36"/>
      <c r="I379" s="36"/>
      <c r="J379" s="36"/>
      <c r="K379" s="36"/>
      <c r="L379" s="36"/>
      <c r="M379" s="36"/>
      <c r="N379" s="35"/>
      <c r="O379" s="35"/>
      <c r="P379" s="35"/>
      <c r="Q379" s="36"/>
      <c r="R379" s="36"/>
      <c r="S379" s="36"/>
      <c r="T379" s="46"/>
      <c r="U379" s="36"/>
      <c r="V379" s="35"/>
      <c r="W379" s="38" t="str">
        <f t="shared" si="5"/>
        <v/>
      </c>
    </row>
    <row r="380" spans="1:23" x14ac:dyDescent="0.35">
      <c r="A380" s="46"/>
      <c r="B380" s="36"/>
      <c r="C380" s="35"/>
      <c r="D380" s="24"/>
      <c r="E380" s="35"/>
      <c r="F380" s="35"/>
      <c r="G380" s="36"/>
      <c r="H380" s="36"/>
      <c r="I380" s="36"/>
      <c r="J380" s="36"/>
      <c r="K380" s="36"/>
      <c r="L380" s="36"/>
      <c r="M380" s="36"/>
      <c r="N380" s="35"/>
      <c r="O380" s="35"/>
      <c r="P380" s="35"/>
      <c r="Q380" s="36"/>
      <c r="R380" s="36"/>
      <c r="S380" s="36"/>
      <c r="T380" s="46"/>
      <c r="U380" s="36"/>
      <c r="V380" s="35"/>
      <c r="W380" s="38" t="str">
        <f t="shared" si="5"/>
        <v/>
      </c>
    </row>
    <row r="381" spans="1:23" x14ac:dyDescent="0.35">
      <c r="A381" s="46"/>
      <c r="B381" s="36"/>
      <c r="C381" s="35"/>
      <c r="D381" s="24"/>
      <c r="E381" s="35"/>
      <c r="F381" s="35"/>
      <c r="G381" s="36"/>
      <c r="H381" s="36"/>
      <c r="I381" s="36"/>
      <c r="J381" s="36"/>
      <c r="K381" s="36"/>
      <c r="L381" s="36"/>
      <c r="M381" s="36"/>
      <c r="N381" s="35"/>
      <c r="O381" s="35"/>
      <c r="P381" s="35"/>
      <c r="Q381" s="36"/>
      <c r="R381" s="36"/>
      <c r="S381" s="36"/>
      <c r="T381" s="46"/>
      <c r="U381" s="36"/>
      <c r="V381" s="35"/>
      <c r="W381" s="38" t="str">
        <f t="shared" si="5"/>
        <v/>
      </c>
    </row>
    <row r="382" spans="1:23" x14ac:dyDescent="0.35">
      <c r="A382" s="46"/>
      <c r="B382" s="36"/>
      <c r="C382" s="35"/>
      <c r="D382" s="24"/>
      <c r="E382" s="35"/>
      <c r="F382" s="35"/>
      <c r="G382" s="36"/>
      <c r="H382" s="36"/>
      <c r="I382" s="36"/>
      <c r="J382" s="36"/>
      <c r="K382" s="36"/>
      <c r="L382" s="36"/>
      <c r="M382" s="36"/>
      <c r="N382" s="35"/>
      <c r="O382" s="35"/>
      <c r="P382" s="35"/>
      <c r="Q382" s="36"/>
      <c r="R382" s="36"/>
      <c r="S382" s="36"/>
      <c r="T382" s="46"/>
      <c r="U382" s="36"/>
      <c r="V382" s="35"/>
      <c r="W382" s="38" t="str">
        <f t="shared" si="5"/>
        <v/>
      </c>
    </row>
    <row r="383" spans="1:23" x14ac:dyDescent="0.35">
      <c r="A383" s="46"/>
      <c r="B383" s="36"/>
      <c r="C383" s="35"/>
      <c r="D383" s="24"/>
      <c r="E383" s="35"/>
      <c r="F383" s="35"/>
      <c r="G383" s="36"/>
      <c r="H383" s="36"/>
      <c r="I383" s="36"/>
      <c r="J383" s="36"/>
      <c r="K383" s="36"/>
      <c r="L383" s="36"/>
      <c r="M383" s="36"/>
      <c r="N383" s="35"/>
      <c r="O383" s="35"/>
      <c r="P383" s="35"/>
      <c r="Q383" s="36"/>
      <c r="R383" s="36"/>
      <c r="S383" s="36"/>
      <c r="T383" s="46"/>
      <c r="U383" s="36"/>
      <c r="V383" s="35"/>
      <c r="W383" s="38" t="str">
        <f t="shared" si="5"/>
        <v/>
      </c>
    </row>
    <row r="384" spans="1:23" x14ac:dyDescent="0.35">
      <c r="A384" s="46"/>
      <c r="B384" s="36"/>
      <c r="C384" s="35"/>
      <c r="D384" s="24"/>
      <c r="E384" s="35"/>
      <c r="F384" s="35"/>
      <c r="G384" s="36"/>
      <c r="H384" s="36"/>
      <c r="I384" s="36"/>
      <c r="J384" s="36"/>
      <c r="K384" s="36"/>
      <c r="L384" s="36"/>
      <c r="M384" s="36"/>
      <c r="N384" s="35"/>
      <c r="O384" s="35"/>
      <c r="P384" s="35"/>
      <c r="Q384" s="36"/>
      <c r="R384" s="36"/>
      <c r="S384" s="36"/>
      <c r="T384" s="46"/>
      <c r="U384" s="36"/>
      <c r="V384" s="35"/>
      <c r="W384" s="38" t="str">
        <f t="shared" si="5"/>
        <v/>
      </c>
    </row>
    <row r="385" spans="1:23" x14ac:dyDescent="0.35">
      <c r="A385" s="46"/>
      <c r="B385" s="36"/>
      <c r="C385" s="35"/>
      <c r="D385" s="24"/>
      <c r="E385" s="35"/>
      <c r="F385" s="35"/>
      <c r="G385" s="36"/>
      <c r="H385" s="36"/>
      <c r="I385" s="36"/>
      <c r="J385" s="36"/>
      <c r="K385" s="36"/>
      <c r="L385" s="36"/>
      <c r="M385" s="36"/>
      <c r="N385" s="35"/>
      <c r="O385" s="35"/>
      <c r="P385" s="35"/>
      <c r="Q385" s="36"/>
      <c r="R385" s="36"/>
      <c r="S385" s="36"/>
      <c r="T385" s="46"/>
      <c r="U385" s="36"/>
      <c r="V385" s="35"/>
      <c r="W385" s="38" t="str">
        <f t="shared" si="5"/>
        <v/>
      </c>
    </row>
    <row r="386" spans="1:23" x14ac:dyDescent="0.35">
      <c r="A386" s="46"/>
      <c r="B386" s="36"/>
      <c r="C386" s="35"/>
      <c r="D386" s="24"/>
      <c r="E386" s="35"/>
      <c r="F386" s="35"/>
      <c r="G386" s="36"/>
      <c r="H386" s="36"/>
      <c r="I386" s="36"/>
      <c r="J386" s="36"/>
      <c r="K386" s="36"/>
      <c r="L386" s="36"/>
      <c r="M386" s="36"/>
      <c r="N386" s="35"/>
      <c r="O386" s="35"/>
      <c r="P386" s="35"/>
      <c r="Q386" s="36"/>
      <c r="R386" s="36"/>
      <c r="S386" s="36"/>
      <c r="T386" s="46"/>
      <c r="U386" s="36"/>
      <c r="V386" s="35"/>
      <c r="W386" s="38" t="str">
        <f t="shared" si="5"/>
        <v/>
      </c>
    </row>
    <row r="387" spans="1:23" x14ac:dyDescent="0.35">
      <c r="A387" s="46"/>
      <c r="B387" s="36"/>
      <c r="C387" s="35"/>
      <c r="D387" s="24"/>
      <c r="E387" s="35"/>
      <c r="F387" s="35"/>
      <c r="G387" s="36"/>
      <c r="H387" s="36"/>
      <c r="I387" s="36"/>
      <c r="J387" s="36"/>
      <c r="K387" s="36"/>
      <c r="L387" s="36"/>
      <c r="M387" s="36"/>
      <c r="N387" s="35"/>
      <c r="O387" s="35"/>
      <c r="P387" s="35"/>
      <c r="Q387" s="36"/>
      <c r="R387" s="36"/>
      <c r="S387" s="36"/>
      <c r="T387" s="46"/>
      <c r="U387" s="36"/>
      <c r="V387" s="35"/>
      <c r="W387" s="38" t="str">
        <f t="shared" si="5"/>
        <v/>
      </c>
    </row>
    <row r="388" spans="1:23" x14ac:dyDescent="0.35">
      <c r="A388" s="46"/>
      <c r="B388" s="36"/>
      <c r="C388" s="35"/>
      <c r="D388" s="24"/>
      <c r="E388" s="35"/>
      <c r="F388" s="35"/>
      <c r="G388" s="36"/>
      <c r="H388" s="36"/>
      <c r="I388" s="36"/>
      <c r="J388" s="36"/>
      <c r="K388" s="36"/>
      <c r="L388" s="36"/>
      <c r="M388" s="36"/>
      <c r="N388" s="35"/>
      <c r="O388" s="35"/>
      <c r="P388" s="35"/>
      <c r="Q388" s="36"/>
      <c r="R388" s="36"/>
      <c r="S388" s="36"/>
      <c r="T388" s="46"/>
      <c r="U388" s="36"/>
      <c r="V388" s="35"/>
      <c r="W388" s="38" t="str">
        <f t="shared" si="5"/>
        <v/>
      </c>
    </row>
    <row r="389" spans="1:23" x14ac:dyDescent="0.35">
      <c r="A389" s="46"/>
      <c r="B389" s="36"/>
      <c r="C389" s="35"/>
      <c r="D389" s="24"/>
      <c r="E389" s="35"/>
      <c r="F389" s="35"/>
      <c r="G389" s="36"/>
      <c r="H389" s="36"/>
      <c r="I389" s="36"/>
      <c r="J389" s="36"/>
      <c r="K389" s="36"/>
      <c r="L389" s="36"/>
      <c r="M389" s="36"/>
      <c r="N389" s="35"/>
      <c r="O389" s="35"/>
      <c r="P389" s="35"/>
      <c r="Q389" s="36"/>
      <c r="R389" s="36"/>
      <c r="S389" s="36"/>
      <c r="T389" s="46"/>
      <c r="U389" s="36"/>
      <c r="V389" s="35"/>
      <c r="W389" s="38" t="str">
        <f t="shared" si="5"/>
        <v/>
      </c>
    </row>
    <row r="390" spans="1:23" x14ac:dyDescent="0.35">
      <c r="A390" s="46"/>
      <c r="B390" s="36"/>
      <c r="C390" s="35"/>
      <c r="D390" s="24"/>
      <c r="E390" s="35"/>
      <c r="F390" s="35"/>
      <c r="G390" s="36"/>
      <c r="H390" s="36"/>
      <c r="I390" s="36"/>
      <c r="J390" s="36"/>
      <c r="K390" s="36"/>
      <c r="L390" s="36"/>
      <c r="M390" s="36"/>
      <c r="N390" s="35"/>
      <c r="O390" s="35"/>
      <c r="P390" s="35"/>
      <c r="Q390" s="36"/>
      <c r="R390" s="36"/>
      <c r="S390" s="36"/>
      <c r="T390" s="46"/>
      <c r="U390" s="36"/>
      <c r="V390" s="35"/>
      <c r="W390" s="38" t="str">
        <f t="shared" ref="W390:W453" si="6">IF(OR(A390="",C390=""),"",INT(A390)&amp;"|"&amp;C390)</f>
        <v/>
      </c>
    </row>
    <row r="391" spans="1:23" x14ac:dyDescent="0.35">
      <c r="A391" s="46"/>
      <c r="B391" s="36"/>
      <c r="C391" s="35"/>
      <c r="D391" s="24"/>
      <c r="E391" s="35"/>
      <c r="F391" s="35"/>
      <c r="G391" s="36"/>
      <c r="H391" s="36"/>
      <c r="I391" s="36"/>
      <c r="J391" s="36"/>
      <c r="K391" s="36"/>
      <c r="L391" s="36"/>
      <c r="M391" s="36"/>
      <c r="N391" s="35"/>
      <c r="O391" s="35"/>
      <c r="P391" s="35"/>
      <c r="Q391" s="36"/>
      <c r="R391" s="36"/>
      <c r="S391" s="36"/>
      <c r="T391" s="46"/>
      <c r="U391" s="36"/>
      <c r="V391" s="35"/>
      <c r="W391" s="38" t="str">
        <f t="shared" si="6"/>
        <v/>
      </c>
    </row>
    <row r="392" spans="1:23" x14ac:dyDescent="0.35">
      <c r="A392" s="46"/>
      <c r="B392" s="36"/>
      <c r="C392" s="35"/>
      <c r="D392" s="24"/>
      <c r="E392" s="35"/>
      <c r="F392" s="35"/>
      <c r="G392" s="36"/>
      <c r="H392" s="36"/>
      <c r="I392" s="36"/>
      <c r="J392" s="36"/>
      <c r="K392" s="36"/>
      <c r="L392" s="36"/>
      <c r="M392" s="36"/>
      <c r="N392" s="35"/>
      <c r="O392" s="35"/>
      <c r="P392" s="35"/>
      <c r="Q392" s="36"/>
      <c r="R392" s="36"/>
      <c r="S392" s="36"/>
      <c r="T392" s="46"/>
      <c r="U392" s="36"/>
      <c r="V392" s="35"/>
      <c r="W392" s="38" t="str">
        <f t="shared" si="6"/>
        <v/>
      </c>
    </row>
    <row r="393" spans="1:23" x14ac:dyDescent="0.35">
      <c r="A393" s="46"/>
      <c r="B393" s="36"/>
      <c r="C393" s="35"/>
      <c r="D393" s="24"/>
      <c r="E393" s="35"/>
      <c r="F393" s="35"/>
      <c r="G393" s="36"/>
      <c r="H393" s="36"/>
      <c r="I393" s="36"/>
      <c r="J393" s="36"/>
      <c r="K393" s="36"/>
      <c r="L393" s="36"/>
      <c r="M393" s="36"/>
      <c r="N393" s="35"/>
      <c r="O393" s="35"/>
      <c r="P393" s="35"/>
      <c r="Q393" s="36"/>
      <c r="R393" s="36"/>
      <c r="S393" s="36"/>
      <c r="T393" s="46"/>
      <c r="U393" s="36"/>
      <c r="V393" s="35"/>
      <c r="W393" s="38" t="str">
        <f t="shared" si="6"/>
        <v/>
      </c>
    </row>
    <row r="394" spans="1:23" x14ac:dyDescent="0.35">
      <c r="A394" s="46"/>
      <c r="B394" s="36"/>
      <c r="C394" s="35"/>
      <c r="D394" s="24"/>
      <c r="E394" s="35"/>
      <c r="F394" s="35"/>
      <c r="G394" s="36"/>
      <c r="H394" s="36"/>
      <c r="I394" s="36"/>
      <c r="J394" s="36"/>
      <c r="K394" s="36"/>
      <c r="L394" s="36"/>
      <c r="M394" s="36"/>
      <c r="N394" s="35"/>
      <c r="O394" s="35"/>
      <c r="P394" s="35"/>
      <c r="Q394" s="36"/>
      <c r="R394" s="36"/>
      <c r="S394" s="36"/>
      <c r="T394" s="46"/>
      <c r="U394" s="36"/>
      <c r="V394" s="35"/>
      <c r="W394" s="38" t="str">
        <f t="shared" si="6"/>
        <v/>
      </c>
    </row>
    <row r="395" spans="1:23" x14ac:dyDescent="0.35">
      <c r="A395" s="46"/>
      <c r="B395" s="36"/>
      <c r="C395" s="35"/>
      <c r="D395" s="24"/>
      <c r="E395" s="35"/>
      <c r="F395" s="35"/>
      <c r="G395" s="36"/>
      <c r="H395" s="36"/>
      <c r="I395" s="36"/>
      <c r="J395" s="36"/>
      <c r="K395" s="36"/>
      <c r="L395" s="36"/>
      <c r="M395" s="36"/>
      <c r="N395" s="35"/>
      <c r="O395" s="35"/>
      <c r="P395" s="35"/>
      <c r="Q395" s="36"/>
      <c r="R395" s="36"/>
      <c r="S395" s="36"/>
      <c r="T395" s="46"/>
      <c r="U395" s="36"/>
      <c r="V395" s="35"/>
      <c r="W395" s="38" t="str">
        <f t="shared" si="6"/>
        <v/>
      </c>
    </row>
    <row r="396" spans="1:23" x14ac:dyDescent="0.35">
      <c r="A396" s="46"/>
      <c r="B396" s="36"/>
      <c r="C396" s="35"/>
      <c r="D396" s="24"/>
      <c r="E396" s="35"/>
      <c r="F396" s="35"/>
      <c r="G396" s="36"/>
      <c r="H396" s="36"/>
      <c r="I396" s="36"/>
      <c r="J396" s="36"/>
      <c r="K396" s="36"/>
      <c r="L396" s="36"/>
      <c r="M396" s="36"/>
      <c r="N396" s="35"/>
      <c r="O396" s="35"/>
      <c r="P396" s="35"/>
      <c r="Q396" s="36"/>
      <c r="R396" s="36"/>
      <c r="S396" s="36"/>
      <c r="T396" s="46"/>
      <c r="U396" s="36"/>
      <c r="V396" s="35"/>
      <c r="W396" s="38" t="str">
        <f t="shared" si="6"/>
        <v/>
      </c>
    </row>
    <row r="397" spans="1:23" x14ac:dyDescent="0.35">
      <c r="A397" s="46"/>
      <c r="B397" s="36"/>
      <c r="C397" s="35"/>
      <c r="D397" s="24"/>
      <c r="E397" s="35"/>
      <c r="F397" s="35"/>
      <c r="G397" s="36"/>
      <c r="H397" s="36"/>
      <c r="I397" s="36"/>
      <c r="J397" s="36"/>
      <c r="K397" s="36"/>
      <c r="L397" s="36"/>
      <c r="M397" s="36"/>
      <c r="N397" s="35"/>
      <c r="O397" s="35"/>
      <c r="P397" s="35"/>
      <c r="Q397" s="36"/>
      <c r="R397" s="36"/>
      <c r="S397" s="36"/>
      <c r="T397" s="46"/>
      <c r="U397" s="36"/>
      <c r="V397" s="35"/>
      <c r="W397" s="38" t="str">
        <f t="shared" si="6"/>
        <v/>
      </c>
    </row>
    <row r="398" spans="1:23" x14ac:dyDescent="0.35">
      <c r="A398" s="46"/>
      <c r="B398" s="36"/>
      <c r="C398" s="35"/>
      <c r="D398" s="24"/>
      <c r="E398" s="35"/>
      <c r="F398" s="35"/>
      <c r="G398" s="36"/>
      <c r="H398" s="36"/>
      <c r="I398" s="36"/>
      <c r="J398" s="36"/>
      <c r="K398" s="36"/>
      <c r="L398" s="36"/>
      <c r="M398" s="36"/>
      <c r="N398" s="35"/>
      <c r="O398" s="35"/>
      <c r="P398" s="35"/>
      <c r="Q398" s="36"/>
      <c r="R398" s="36"/>
      <c r="S398" s="36"/>
      <c r="T398" s="46"/>
      <c r="U398" s="36"/>
      <c r="V398" s="35"/>
      <c r="W398" s="38" t="str">
        <f t="shared" si="6"/>
        <v/>
      </c>
    </row>
    <row r="399" spans="1:23" x14ac:dyDescent="0.35">
      <c r="A399" s="46"/>
      <c r="B399" s="36"/>
      <c r="C399" s="35"/>
      <c r="D399" s="24"/>
      <c r="E399" s="35"/>
      <c r="F399" s="35"/>
      <c r="G399" s="36"/>
      <c r="H399" s="36"/>
      <c r="I399" s="36"/>
      <c r="J399" s="36"/>
      <c r="K399" s="36"/>
      <c r="L399" s="36"/>
      <c r="M399" s="36"/>
      <c r="N399" s="35"/>
      <c r="O399" s="35"/>
      <c r="P399" s="35"/>
      <c r="Q399" s="36"/>
      <c r="R399" s="36"/>
      <c r="S399" s="36"/>
      <c r="T399" s="46"/>
      <c r="U399" s="36"/>
      <c r="V399" s="35"/>
      <c r="W399" s="38" t="str">
        <f t="shared" si="6"/>
        <v/>
      </c>
    </row>
    <row r="400" spans="1:23" x14ac:dyDescent="0.35">
      <c r="A400" s="46"/>
      <c r="B400" s="36"/>
      <c r="C400" s="35"/>
      <c r="D400" s="24"/>
      <c r="E400" s="35"/>
      <c r="F400" s="35"/>
      <c r="G400" s="36"/>
      <c r="H400" s="36"/>
      <c r="I400" s="36"/>
      <c r="J400" s="36"/>
      <c r="K400" s="36"/>
      <c r="L400" s="36"/>
      <c r="M400" s="36"/>
      <c r="N400" s="35"/>
      <c r="O400" s="35"/>
      <c r="P400" s="35"/>
      <c r="Q400" s="36"/>
      <c r="R400" s="36"/>
      <c r="S400" s="36"/>
      <c r="T400" s="46"/>
      <c r="U400" s="36"/>
      <c r="V400" s="35"/>
      <c r="W400" s="38" t="str">
        <f t="shared" si="6"/>
        <v/>
      </c>
    </row>
    <row r="401" spans="1:23" x14ac:dyDescent="0.35">
      <c r="A401" s="46"/>
      <c r="B401" s="36"/>
      <c r="C401" s="35"/>
      <c r="D401" s="24"/>
      <c r="E401" s="35"/>
      <c r="F401" s="35"/>
      <c r="G401" s="36"/>
      <c r="H401" s="36"/>
      <c r="I401" s="36"/>
      <c r="J401" s="36"/>
      <c r="K401" s="36"/>
      <c r="L401" s="36"/>
      <c r="M401" s="36"/>
      <c r="N401" s="35"/>
      <c r="O401" s="35"/>
      <c r="P401" s="35"/>
      <c r="Q401" s="36"/>
      <c r="R401" s="36"/>
      <c r="S401" s="36"/>
      <c r="T401" s="46"/>
      <c r="U401" s="36"/>
      <c r="V401" s="35"/>
      <c r="W401" s="38" t="str">
        <f t="shared" si="6"/>
        <v/>
      </c>
    </row>
    <row r="402" spans="1:23" x14ac:dyDescent="0.35">
      <c r="A402" s="46"/>
      <c r="B402" s="36"/>
      <c r="C402" s="35"/>
      <c r="D402" s="24"/>
      <c r="E402" s="35"/>
      <c r="F402" s="35"/>
      <c r="G402" s="36"/>
      <c r="H402" s="36"/>
      <c r="I402" s="36"/>
      <c r="J402" s="36"/>
      <c r="K402" s="36"/>
      <c r="L402" s="36"/>
      <c r="M402" s="36"/>
      <c r="N402" s="35"/>
      <c r="O402" s="35"/>
      <c r="P402" s="35"/>
      <c r="Q402" s="36"/>
      <c r="R402" s="36"/>
      <c r="S402" s="36"/>
      <c r="T402" s="46"/>
      <c r="U402" s="36"/>
      <c r="V402" s="35"/>
      <c r="W402" s="38" t="str">
        <f t="shared" si="6"/>
        <v/>
      </c>
    </row>
    <row r="403" spans="1:23" x14ac:dyDescent="0.35">
      <c r="A403" s="46"/>
      <c r="B403" s="36"/>
      <c r="C403" s="35"/>
      <c r="D403" s="24"/>
      <c r="E403" s="35"/>
      <c r="F403" s="35"/>
      <c r="G403" s="36"/>
      <c r="H403" s="36"/>
      <c r="I403" s="36"/>
      <c r="J403" s="36"/>
      <c r="K403" s="36"/>
      <c r="L403" s="36"/>
      <c r="M403" s="36"/>
      <c r="N403" s="35"/>
      <c r="O403" s="35"/>
      <c r="P403" s="35"/>
      <c r="Q403" s="36"/>
      <c r="R403" s="36"/>
      <c r="S403" s="36"/>
      <c r="T403" s="46"/>
      <c r="U403" s="36"/>
      <c r="V403" s="35"/>
      <c r="W403" s="38" t="str">
        <f t="shared" si="6"/>
        <v/>
      </c>
    </row>
    <row r="404" spans="1:23" x14ac:dyDescent="0.35">
      <c r="A404" s="46"/>
      <c r="B404" s="36"/>
      <c r="C404" s="35"/>
      <c r="D404" s="24"/>
      <c r="E404" s="35"/>
      <c r="F404" s="35"/>
      <c r="G404" s="36"/>
      <c r="H404" s="36"/>
      <c r="I404" s="36"/>
      <c r="J404" s="36"/>
      <c r="K404" s="36"/>
      <c r="L404" s="36"/>
      <c r="M404" s="36"/>
      <c r="N404" s="35"/>
      <c r="O404" s="35"/>
      <c r="P404" s="35"/>
      <c r="Q404" s="36"/>
      <c r="R404" s="36"/>
      <c r="S404" s="36"/>
      <c r="T404" s="46"/>
      <c r="U404" s="36"/>
      <c r="V404" s="35"/>
      <c r="W404" s="38" t="str">
        <f t="shared" si="6"/>
        <v/>
      </c>
    </row>
    <row r="405" spans="1:23" x14ac:dyDescent="0.35">
      <c r="A405" s="46"/>
      <c r="B405" s="36"/>
      <c r="C405" s="35"/>
      <c r="D405" s="24"/>
      <c r="E405" s="35"/>
      <c r="F405" s="35"/>
      <c r="G405" s="36"/>
      <c r="H405" s="36"/>
      <c r="I405" s="36"/>
      <c r="J405" s="36"/>
      <c r="K405" s="36"/>
      <c r="L405" s="36"/>
      <c r="M405" s="36"/>
      <c r="N405" s="35"/>
      <c r="O405" s="35"/>
      <c r="P405" s="35"/>
      <c r="Q405" s="36"/>
      <c r="R405" s="36"/>
      <c r="S405" s="36"/>
      <c r="T405" s="46"/>
      <c r="U405" s="36"/>
      <c r="V405" s="35"/>
      <c r="W405" s="38" t="str">
        <f t="shared" si="6"/>
        <v/>
      </c>
    </row>
    <row r="406" spans="1:23" x14ac:dyDescent="0.35">
      <c r="A406" s="46"/>
      <c r="B406" s="36"/>
      <c r="C406" s="35"/>
      <c r="D406" s="24"/>
      <c r="E406" s="35"/>
      <c r="F406" s="35"/>
      <c r="G406" s="36"/>
      <c r="H406" s="36"/>
      <c r="I406" s="36"/>
      <c r="J406" s="36"/>
      <c r="K406" s="36"/>
      <c r="L406" s="36"/>
      <c r="M406" s="36"/>
      <c r="N406" s="35"/>
      <c r="O406" s="35"/>
      <c r="P406" s="35"/>
      <c r="Q406" s="36"/>
      <c r="R406" s="36"/>
      <c r="S406" s="36"/>
      <c r="T406" s="46"/>
      <c r="U406" s="36"/>
      <c r="V406" s="35"/>
      <c r="W406" s="38" t="str">
        <f t="shared" si="6"/>
        <v/>
      </c>
    </row>
    <row r="407" spans="1:23" x14ac:dyDescent="0.35">
      <c r="A407" s="46"/>
      <c r="B407" s="36"/>
      <c r="C407" s="35"/>
      <c r="D407" s="24"/>
      <c r="E407" s="35"/>
      <c r="F407" s="35"/>
      <c r="G407" s="36"/>
      <c r="H407" s="36"/>
      <c r="I407" s="36"/>
      <c r="J407" s="36"/>
      <c r="K407" s="36"/>
      <c r="L407" s="36"/>
      <c r="M407" s="36"/>
      <c r="N407" s="35"/>
      <c r="O407" s="35"/>
      <c r="P407" s="35"/>
      <c r="Q407" s="36"/>
      <c r="R407" s="36"/>
      <c r="S407" s="36"/>
      <c r="T407" s="46"/>
      <c r="U407" s="36"/>
      <c r="V407" s="35"/>
      <c r="W407" s="38" t="str">
        <f t="shared" si="6"/>
        <v/>
      </c>
    </row>
    <row r="408" spans="1:23" x14ac:dyDescent="0.35">
      <c r="A408" s="46"/>
      <c r="B408" s="36"/>
      <c r="C408" s="35"/>
      <c r="D408" s="24"/>
      <c r="E408" s="35"/>
      <c r="F408" s="35"/>
      <c r="G408" s="36"/>
      <c r="H408" s="36"/>
      <c r="I408" s="36"/>
      <c r="J408" s="36"/>
      <c r="K408" s="36"/>
      <c r="L408" s="36"/>
      <c r="M408" s="36"/>
      <c r="N408" s="35"/>
      <c r="O408" s="35"/>
      <c r="P408" s="35"/>
      <c r="Q408" s="36"/>
      <c r="R408" s="36"/>
      <c r="S408" s="36"/>
      <c r="T408" s="46"/>
      <c r="U408" s="36"/>
      <c r="V408" s="35"/>
      <c r="W408" s="38" t="str">
        <f t="shared" si="6"/>
        <v/>
      </c>
    </row>
    <row r="409" spans="1:23" x14ac:dyDescent="0.35">
      <c r="A409" s="46"/>
      <c r="B409" s="36"/>
      <c r="C409" s="35"/>
      <c r="D409" s="24"/>
      <c r="E409" s="35"/>
      <c r="F409" s="35"/>
      <c r="G409" s="36"/>
      <c r="H409" s="36"/>
      <c r="I409" s="36"/>
      <c r="J409" s="36"/>
      <c r="K409" s="36"/>
      <c r="L409" s="36"/>
      <c r="M409" s="36"/>
      <c r="N409" s="35"/>
      <c r="O409" s="35"/>
      <c r="P409" s="35"/>
      <c r="Q409" s="36"/>
      <c r="R409" s="36"/>
      <c r="S409" s="36"/>
      <c r="T409" s="46"/>
      <c r="U409" s="36"/>
      <c r="V409" s="35"/>
      <c r="W409" s="38" t="str">
        <f t="shared" si="6"/>
        <v/>
      </c>
    </row>
    <row r="410" spans="1:23" x14ac:dyDescent="0.35">
      <c r="A410" s="46"/>
      <c r="B410" s="36"/>
      <c r="C410" s="35"/>
      <c r="D410" s="24"/>
      <c r="E410" s="35"/>
      <c r="F410" s="35"/>
      <c r="G410" s="36"/>
      <c r="H410" s="36"/>
      <c r="I410" s="36"/>
      <c r="J410" s="36"/>
      <c r="K410" s="36"/>
      <c r="L410" s="36"/>
      <c r="M410" s="36"/>
      <c r="N410" s="35"/>
      <c r="O410" s="35"/>
      <c r="P410" s="35"/>
      <c r="Q410" s="36"/>
      <c r="R410" s="36"/>
      <c r="S410" s="36"/>
      <c r="T410" s="46"/>
      <c r="U410" s="36"/>
      <c r="V410" s="35"/>
      <c r="W410" s="38" t="str">
        <f t="shared" si="6"/>
        <v/>
      </c>
    </row>
    <row r="411" spans="1:23" x14ac:dyDescent="0.35">
      <c r="A411" s="46"/>
      <c r="B411" s="36"/>
      <c r="C411" s="35"/>
      <c r="D411" s="24"/>
      <c r="E411" s="35"/>
      <c r="F411" s="35"/>
      <c r="G411" s="36"/>
      <c r="H411" s="36"/>
      <c r="I411" s="36"/>
      <c r="J411" s="36"/>
      <c r="K411" s="36"/>
      <c r="L411" s="36"/>
      <c r="M411" s="36"/>
      <c r="N411" s="35"/>
      <c r="O411" s="35"/>
      <c r="P411" s="35"/>
      <c r="Q411" s="36"/>
      <c r="R411" s="36"/>
      <c r="S411" s="36"/>
      <c r="T411" s="46"/>
      <c r="U411" s="36"/>
      <c r="V411" s="35"/>
      <c r="W411" s="38" t="str">
        <f t="shared" si="6"/>
        <v/>
      </c>
    </row>
    <row r="412" spans="1:23" x14ac:dyDescent="0.35">
      <c r="A412" s="46"/>
      <c r="B412" s="36"/>
      <c r="C412" s="35"/>
      <c r="D412" s="24"/>
      <c r="E412" s="35"/>
      <c r="F412" s="35"/>
      <c r="G412" s="36"/>
      <c r="H412" s="36"/>
      <c r="I412" s="36"/>
      <c r="J412" s="36"/>
      <c r="K412" s="36"/>
      <c r="L412" s="36"/>
      <c r="M412" s="36"/>
      <c r="N412" s="35"/>
      <c r="O412" s="35"/>
      <c r="P412" s="35"/>
      <c r="Q412" s="36"/>
      <c r="R412" s="36"/>
      <c r="S412" s="36"/>
      <c r="T412" s="46"/>
      <c r="U412" s="36"/>
      <c r="V412" s="35"/>
      <c r="W412" s="38" t="str">
        <f t="shared" si="6"/>
        <v/>
      </c>
    </row>
    <row r="413" spans="1:23" x14ac:dyDescent="0.35">
      <c r="A413" s="46"/>
      <c r="B413" s="36"/>
      <c r="C413" s="35"/>
      <c r="D413" s="24"/>
      <c r="E413" s="35"/>
      <c r="F413" s="35"/>
      <c r="G413" s="36"/>
      <c r="H413" s="36"/>
      <c r="I413" s="36"/>
      <c r="J413" s="36"/>
      <c r="K413" s="36"/>
      <c r="L413" s="36"/>
      <c r="M413" s="36"/>
      <c r="N413" s="35"/>
      <c r="O413" s="35"/>
      <c r="P413" s="35"/>
      <c r="Q413" s="36"/>
      <c r="R413" s="36"/>
      <c r="S413" s="36"/>
      <c r="T413" s="46"/>
      <c r="U413" s="36"/>
      <c r="V413" s="35"/>
      <c r="W413" s="38" t="str">
        <f t="shared" si="6"/>
        <v/>
      </c>
    </row>
    <row r="414" spans="1:23" x14ac:dyDescent="0.35">
      <c r="A414" s="46"/>
      <c r="B414" s="36"/>
      <c r="C414" s="35"/>
      <c r="D414" s="24"/>
      <c r="E414" s="35"/>
      <c r="F414" s="35"/>
      <c r="G414" s="36"/>
      <c r="H414" s="36"/>
      <c r="I414" s="36"/>
      <c r="J414" s="36"/>
      <c r="K414" s="36"/>
      <c r="L414" s="36"/>
      <c r="M414" s="36"/>
      <c r="N414" s="35"/>
      <c r="O414" s="35"/>
      <c r="P414" s="35"/>
      <c r="Q414" s="36"/>
      <c r="R414" s="36"/>
      <c r="S414" s="36"/>
      <c r="T414" s="46"/>
      <c r="U414" s="36"/>
      <c r="V414" s="35"/>
      <c r="W414" s="38" t="str">
        <f t="shared" si="6"/>
        <v/>
      </c>
    </row>
    <row r="415" spans="1:23" x14ac:dyDescent="0.35">
      <c r="A415" s="46"/>
      <c r="B415" s="36"/>
      <c r="C415" s="35"/>
      <c r="D415" s="24"/>
      <c r="E415" s="35"/>
      <c r="F415" s="35"/>
      <c r="G415" s="36"/>
      <c r="H415" s="36"/>
      <c r="I415" s="36"/>
      <c r="J415" s="36"/>
      <c r="K415" s="36"/>
      <c r="L415" s="36"/>
      <c r="M415" s="36"/>
      <c r="N415" s="35"/>
      <c r="O415" s="35"/>
      <c r="P415" s="35"/>
      <c r="Q415" s="36"/>
      <c r="R415" s="36"/>
      <c r="S415" s="36"/>
      <c r="T415" s="46"/>
      <c r="U415" s="36"/>
      <c r="V415" s="35"/>
      <c r="W415" s="38" t="str">
        <f t="shared" si="6"/>
        <v/>
      </c>
    </row>
    <row r="416" spans="1:23" x14ac:dyDescent="0.35">
      <c r="A416" s="46"/>
      <c r="B416" s="36"/>
      <c r="C416" s="35"/>
      <c r="D416" s="24"/>
      <c r="E416" s="35"/>
      <c r="F416" s="35"/>
      <c r="G416" s="36"/>
      <c r="H416" s="36"/>
      <c r="I416" s="36"/>
      <c r="J416" s="36"/>
      <c r="K416" s="36"/>
      <c r="L416" s="36"/>
      <c r="M416" s="36"/>
      <c r="N416" s="35"/>
      <c r="O416" s="35"/>
      <c r="P416" s="35"/>
      <c r="Q416" s="36"/>
      <c r="R416" s="36"/>
      <c r="S416" s="36"/>
      <c r="T416" s="46"/>
      <c r="U416" s="36"/>
      <c r="V416" s="35"/>
      <c r="W416" s="38" t="str">
        <f t="shared" si="6"/>
        <v/>
      </c>
    </row>
    <row r="417" spans="1:23" x14ac:dyDescent="0.35">
      <c r="A417" s="46"/>
      <c r="B417" s="36"/>
      <c r="C417" s="35"/>
      <c r="D417" s="24"/>
      <c r="E417" s="35"/>
      <c r="F417" s="35"/>
      <c r="G417" s="36"/>
      <c r="H417" s="36"/>
      <c r="I417" s="36"/>
      <c r="J417" s="36"/>
      <c r="K417" s="36"/>
      <c r="L417" s="36"/>
      <c r="M417" s="36"/>
      <c r="N417" s="35"/>
      <c r="O417" s="35"/>
      <c r="P417" s="35"/>
      <c r="Q417" s="36"/>
      <c r="R417" s="36"/>
      <c r="S417" s="36"/>
      <c r="T417" s="46"/>
      <c r="U417" s="36"/>
      <c r="V417" s="35"/>
      <c r="W417" s="38" t="str">
        <f t="shared" si="6"/>
        <v/>
      </c>
    </row>
    <row r="418" spans="1:23" x14ac:dyDescent="0.35">
      <c r="A418" s="46"/>
      <c r="B418" s="36"/>
      <c r="C418" s="35"/>
      <c r="D418" s="24"/>
      <c r="E418" s="35"/>
      <c r="F418" s="35"/>
      <c r="G418" s="36"/>
      <c r="H418" s="36"/>
      <c r="I418" s="36"/>
      <c r="J418" s="36"/>
      <c r="K418" s="36"/>
      <c r="L418" s="36"/>
      <c r="M418" s="36"/>
      <c r="N418" s="35"/>
      <c r="O418" s="35"/>
      <c r="P418" s="35"/>
      <c r="Q418" s="36"/>
      <c r="R418" s="36"/>
      <c r="S418" s="36"/>
      <c r="T418" s="46"/>
      <c r="U418" s="36"/>
      <c r="V418" s="35"/>
      <c r="W418" s="38" t="str">
        <f t="shared" si="6"/>
        <v/>
      </c>
    </row>
    <row r="419" spans="1:23" x14ac:dyDescent="0.35">
      <c r="A419" s="46"/>
      <c r="B419" s="36"/>
      <c r="C419" s="35"/>
      <c r="D419" s="24"/>
      <c r="E419" s="35"/>
      <c r="F419" s="35"/>
      <c r="G419" s="36"/>
      <c r="H419" s="36"/>
      <c r="I419" s="36"/>
      <c r="J419" s="36"/>
      <c r="K419" s="36"/>
      <c r="L419" s="36"/>
      <c r="M419" s="36"/>
      <c r="N419" s="35"/>
      <c r="O419" s="35"/>
      <c r="P419" s="35"/>
      <c r="Q419" s="36"/>
      <c r="R419" s="36"/>
      <c r="S419" s="36"/>
      <c r="T419" s="46"/>
      <c r="U419" s="36"/>
      <c r="V419" s="35"/>
      <c r="W419" s="38" t="str">
        <f t="shared" si="6"/>
        <v/>
      </c>
    </row>
    <row r="420" spans="1:23" x14ac:dyDescent="0.35">
      <c r="A420" s="46"/>
      <c r="B420" s="36"/>
      <c r="C420" s="35"/>
      <c r="D420" s="24"/>
      <c r="E420" s="35"/>
      <c r="F420" s="35"/>
      <c r="G420" s="36"/>
      <c r="H420" s="36"/>
      <c r="I420" s="36"/>
      <c r="J420" s="36"/>
      <c r="K420" s="36"/>
      <c r="L420" s="36"/>
      <c r="M420" s="36"/>
      <c r="N420" s="35"/>
      <c r="O420" s="35"/>
      <c r="P420" s="35"/>
      <c r="Q420" s="36"/>
      <c r="R420" s="36"/>
      <c r="S420" s="36"/>
      <c r="T420" s="46"/>
      <c r="U420" s="36"/>
      <c r="V420" s="35"/>
      <c r="W420" s="38" t="str">
        <f t="shared" si="6"/>
        <v/>
      </c>
    </row>
    <row r="421" spans="1:23" x14ac:dyDescent="0.35">
      <c r="A421" s="46"/>
      <c r="B421" s="36"/>
      <c r="C421" s="35"/>
      <c r="D421" s="24"/>
      <c r="E421" s="35"/>
      <c r="F421" s="35"/>
      <c r="G421" s="36"/>
      <c r="H421" s="36"/>
      <c r="I421" s="36"/>
      <c r="J421" s="36"/>
      <c r="K421" s="36"/>
      <c r="L421" s="36"/>
      <c r="M421" s="36"/>
      <c r="N421" s="35"/>
      <c r="O421" s="35"/>
      <c r="P421" s="35"/>
      <c r="Q421" s="36"/>
      <c r="R421" s="36"/>
      <c r="S421" s="36"/>
      <c r="T421" s="46"/>
      <c r="U421" s="36"/>
      <c r="V421" s="35"/>
      <c r="W421" s="38" t="str">
        <f t="shared" si="6"/>
        <v/>
      </c>
    </row>
    <row r="422" spans="1:23" x14ac:dyDescent="0.35">
      <c r="A422" s="46"/>
      <c r="B422" s="36"/>
      <c r="C422" s="35"/>
      <c r="D422" s="24"/>
      <c r="E422" s="35"/>
      <c r="F422" s="35"/>
      <c r="G422" s="36"/>
      <c r="H422" s="36"/>
      <c r="I422" s="36"/>
      <c r="J422" s="36"/>
      <c r="K422" s="36"/>
      <c r="L422" s="36"/>
      <c r="M422" s="36"/>
      <c r="N422" s="35"/>
      <c r="O422" s="35"/>
      <c r="P422" s="35"/>
      <c r="Q422" s="36"/>
      <c r="R422" s="36"/>
      <c r="S422" s="36"/>
      <c r="T422" s="46"/>
      <c r="U422" s="36"/>
      <c r="V422" s="35"/>
      <c r="W422" s="38" t="str">
        <f t="shared" si="6"/>
        <v/>
      </c>
    </row>
    <row r="423" spans="1:23" x14ac:dyDescent="0.35">
      <c r="A423" s="46"/>
      <c r="B423" s="36"/>
      <c r="C423" s="35"/>
      <c r="D423" s="24"/>
      <c r="E423" s="35"/>
      <c r="F423" s="35"/>
      <c r="G423" s="36"/>
      <c r="H423" s="36"/>
      <c r="I423" s="36"/>
      <c r="J423" s="36"/>
      <c r="K423" s="36"/>
      <c r="L423" s="36"/>
      <c r="M423" s="36"/>
      <c r="N423" s="35"/>
      <c r="O423" s="35"/>
      <c r="P423" s="35"/>
      <c r="Q423" s="36"/>
      <c r="R423" s="36"/>
      <c r="S423" s="36"/>
      <c r="T423" s="46"/>
      <c r="U423" s="36"/>
      <c r="V423" s="35"/>
      <c r="W423" s="38" t="str">
        <f t="shared" si="6"/>
        <v/>
      </c>
    </row>
    <row r="424" spans="1:23" x14ac:dyDescent="0.35">
      <c r="A424" s="46"/>
      <c r="B424" s="36"/>
      <c r="C424" s="35"/>
      <c r="D424" s="24"/>
      <c r="E424" s="35"/>
      <c r="F424" s="35"/>
      <c r="G424" s="36"/>
      <c r="H424" s="36"/>
      <c r="I424" s="36"/>
      <c r="J424" s="36"/>
      <c r="K424" s="36"/>
      <c r="L424" s="36"/>
      <c r="M424" s="36"/>
      <c r="N424" s="35"/>
      <c r="O424" s="35"/>
      <c r="P424" s="35"/>
      <c r="Q424" s="36"/>
      <c r="R424" s="36"/>
      <c r="S424" s="36"/>
      <c r="T424" s="46"/>
      <c r="U424" s="36"/>
      <c r="V424" s="35"/>
      <c r="W424" s="38" t="str">
        <f t="shared" si="6"/>
        <v/>
      </c>
    </row>
    <row r="425" spans="1:23" x14ac:dyDescent="0.35">
      <c r="A425" s="46"/>
      <c r="B425" s="36"/>
      <c r="C425" s="35"/>
      <c r="D425" s="24"/>
      <c r="E425" s="35"/>
      <c r="F425" s="35"/>
      <c r="G425" s="36"/>
      <c r="H425" s="36"/>
      <c r="I425" s="36"/>
      <c r="J425" s="36"/>
      <c r="K425" s="36"/>
      <c r="L425" s="36"/>
      <c r="M425" s="36"/>
      <c r="N425" s="35"/>
      <c r="O425" s="35"/>
      <c r="P425" s="35"/>
      <c r="Q425" s="36"/>
      <c r="R425" s="36"/>
      <c r="S425" s="36"/>
      <c r="T425" s="46"/>
      <c r="U425" s="36"/>
      <c r="V425" s="35"/>
      <c r="W425" s="38" t="str">
        <f t="shared" si="6"/>
        <v/>
      </c>
    </row>
    <row r="426" spans="1:23" x14ac:dyDescent="0.35">
      <c r="A426" s="46"/>
      <c r="B426" s="36"/>
      <c r="C426" s="35"/>
      <c r="D426" s="24"/>
      <c r="E426" s="35"/>
      <c r="F426" s="35"/>
      <c r="G426" s="36"/>
      <c r="H426" s="36"/>
      <c r="I426" s="36"/>
      <c r="J426" s="36"/>
      <c r="K426" s="36"/>
      <c r="L426" s="36"/>
      <c r="M426" s="36"/>
      <c r="N426" s="35"/>
      <c r="O426" s="35"/>
      <c r="P426" s="35"/>
      <c r="Q426" s="36"/>
      <c r="R426" s="36"/>
      <c r="S426" s="36"/>
      <c r="T426" s="46"/>
      <c r="U426" s="36"/>
      <c r="V426" s="35"/>
      <c r="W426" s="38" t="str">
        <f t="shared" si="6"/>
        <v/>
      </c>
    </row>
    <row r="427" spans="1:23" x14ac:dyDescent="0.35">
      <c r="A427" s="46"/>
      <c r="B427" s="36"/>
      <c r="C427" s="35"/>
      <c r="D427" s="24"/>
      <c r="E427" s="35"/>
      <c r="F427" s="35"/>
      <c r="G427" s="36"/>
      <c r="H427" s="36"/>
      <c r="I427" s="36"/>
      <c r="J427" s="36"/>
      <c r="K427" s="36"/>
      <c r="L427" s="36"/>
      <c r="M427" s="36"/>
      <c r="N427" s="35"/>
      <c r="O427" s="35"/>
      <c r="P427" s="35"/>
      <c r="Q427" s="36"/>
      <c r="R427" s="36"/>
      <c r="S427" s="36"/>
      <c r="T427" s="46"/>
      <c r="U427" s="36"/>
      <c r="V427" s="35"/>
      <c r="W427" s="38" t="str">
        <f t="shared" si="6"/>
        <v/>
      </c>
    </row>
    <row r="428" spans="1:23" x14ac:dyDescent="0.35">
      <c r="A428" s="46"/>
      <c r="B428" s="36"/>
      <c r="C428" s="35"/>
      <c r="D428" s="24"/>
      <c r="E428" s="35"/>
      <c r="F428" s="35"/>
      <c r="G428" s="36"/>
      <c r="H428" s="36"/>
      <c r="I428" s="36"/>
      <c r="J428" s="36"/>
      <c r="K428" s="36"/>
      <c r="L428" s="36"/>
      <c r="M428" s="36"/>
      <c r="N428" s="35"/>
      <c r="O428" s="35"/>
      <c r="P428" s="35"/>
      <c r="Q428" s="36"/>
      <c r="R428" s="36"/>
      <c r="S428" s="36"/>
      <c r="T428" s="46"/>
      <c r="U428" s="36"/>
      <c r="V428" s="35"/>
      <c r="W428" s="38" t="str">
        <f t="shared" si="6"/>
        <v/>
      </c>
    </row>
    <row r="429" spans="1:23" x14ac:dyDescent="0.35">
      <c r="A429" s="46"/>
      <c r="B429" s="36"/>
      <c r="C429" s="35"/>
      <c r="D429" s="24"/>
      <c r="E429" s="35"/>
      <c r="F429" s="35"/>
      <c r="G429" s="36"/>
      <c r="H429" s="36"/>
      <c r="I429" s="36"/>
      <c r="J429" s="36"/>
      <c r="K429" s="36"/>
      <c r="L429" s="36"/>
      <c r="M429" s="36"/>
      <c r="N429" s="35"/>
      <c r="O429" s="35"/>
      <c r="P429" s="35"/>
      <c r="Q429" s="36"/>
      <c r="R429" s="36"/>
      <c r="S429" s="36"/>
      <c r="T429" s="46"/>
      <c r="U429" s="36"/>
      <c r="V429" s="35"/>
      <c r="W429" s="38" t="str">
        <f t="shared" si="6"/>
        <v/>
      </c>
    </row>
    <row r="430" spans="1:23" x14ac:dyDescent="0.35">
      <c r="A430" s="46"/>
      <c r="B430" s="36"/>
      <c r="C430" s="35"/>
      <c r="D430" s="24"/>
      <c r="E430" s="35"/>
      <c r="F430" s="35"/>
      <c r="G430" s="36"/>
      <c r="H430" s="36"/>
      <c r="I430" s="36"/>
      <c r="J430" s="36"/>
      <c r="K430" s="36"/>
      <c r="L430" s="36"/>
      <c r="M430" s="36"/>
      <c r="N430" s="35"/>
      <c r="O430" s="35"/>
      <c r="P430" s="35"/>
      <c r="Q430" s="36"/>
      <c r="R430" s="36"/>
      <c r="S430" s="36"/>
      <c r="T430" s="46"/>
      <c r="U430" s="36"/>
      <c r="V430" s="35"/>
      <c r="W430" s="38" t="str">
        <f t="shared" si="6"/>
        <v/>
      </c>
    </row>
    <row r="431" spans="1:23" x14ac:dyDescent="0.35">
      <c r="A431" s="46"/>
      <c r="B431" s="36"/>
      <c r="C431" s="35"/>
      <c r="D431" s="24"/>
      <c r="E431" s="35"/>
      <c r="F431" s="35"/>
      <c r="G431" s="36"/>
      <c r="H431" s="36"/>
      <c r="I431" s="36"/>
      <c r="J431" s="36"/>
      <c r="K431" s="36"/>
      <c r="L431" s="36"/>
      <c r="M431" s="36"/>
      <c r="N431" s="35"/>
      <c r="O431" s="35"/>
      <c r="P431" s="35"/>
      <c r="Q431" s="36"/>
      <c r="R431" s="36"/>
      <c r="S431" s="36"/>
      <c r="T431" s="46"/>
      <c r="U431" s="36"/>
      <c r="V431" s="35"/>
      <c r="W431" s="38" t="str">
        <f t="shared" si="6"/>
        <v/>
      </c>
    </row>
    <row r="432" spans="1:23" x14ac:dyDescent="0.35">
      <c r="A432" s="46"/>
      <c r="B432" s="36"/>
      <c r="C432" s="35"/>
      <c r="D432" s="24"/>
      <c r="E432" s="35"/>
      <c r="F432" s="35"/>
      <c r="G432" s="36"/>
      <c r="H432" s="36"/>
      <c r="I432" s="36"/>
      <c r="J432" s="36"/>
      <c r="K432" s="36"/>
      <c r="L432" s="36"/>
      <c r="M432" s="36"/>
      <c r="N432" s="35"/>
      <c r="O432" s="35"/>
      <c r="P432" s="35"/>
      <c r="Q432" s="36"/>
      <c r="R432" s="36"/>
      <c r="S432" s="36"/>
      <c r="T432" s="46"/>
      <c r="U432" s="36"/>
      <c r="V432" s="35"/>
      <c r="W432" s="38" t="str">
        <f t="shared" si="6"/>
        <v/>
      </c>
    </row>
    <row r="433" spans="1:23" x14ac:dyDescent="0.35">
      <c r="A433" s="46"/>
      <c r="B433" s="36"/>
      <c r="C433" s="35"/>
      <c r="D433" s="24"/>
      <c r="E433" s="35"/>
      <c r="F433" s="35"/>
      <c r="G433" s="36"/>
      <c r="H433" s="36"/>
      <c r="I433" s="36"/>
      <c r="J433" s="36"/>
      <c r="K433" s="36"/>
      <c r="L433" s="36"/>
      <c r="M433" s="36"/>
      <c r="N433" s="35"/>
      <c r="O433" s="35"/>
      <c r="P433" s="35"/>
      <c r="Q433" s="36"/>
      <c r="R433" s="36"/>
      <c r="S433" s="36"/>
      <c r="T433" s="46"/>
      <c r="U433" s="36"/>
      <c r="V433" s="35"/>
      <c r="W433" s="38" t="str">
        <f t="shared" si="6"/>
        <v/>
      </c>
    </row>
    <row r="434" spans="1:23" x14ac:dyDescent="0.35">
      <c r="A434" s="46"/>
      <c r="B434" s="36"/>
      <c r="C434" s="35"/>
      <c r="D434" s="24"/>
      <c r="E434" s="35"/>
      <c r="F434" s="35"/>
      <c r="G434" s="36"/>
      <c r="H434" s="36"/>
      <c r="I434" s="36"/>
      <c r="J434" s="36"/>
      <c r="K434" s="36"/>
      <c r="L434" s="36"/>
      <c r="M434" s="36"/>
      <c r="N434" s="35"/>
      <c r="O434" s="35"/>
      <c r="P434" s="35"/>
      <c r="Q434" s="36"/>
      <c r="R434" s="36"/>
      <c r="S434" s="36"/>
      <c r="T434" s="46"/>
      <c r="U434" s="36"/>
      <c r="V434" s="35"/>
      <c r="W434" s="38" t="str">
        <f t="shared" si="6"/>
        <v/>
      </c>
    </row>
    <row r="435" spans="1:23" x14ac:dyDescent="0.35">
      <c r="A435" s="46"/>
      <c r="B435" s="36"/>
      <c r="C435" s="35"/>
      <c r="D435" s="24"/>
      <c r="E435" s="35"/>
      <c r="F435" s="35"/>
      <c r="G435" s="36"/>
      <c r="H435" s="36"/>
      <c r="I435" s="36"/>
      <c r="J435" s="36"/>
      <c r="K435" s="36"/>
      <c r="L435" s="36"/>
      <c r="M435" s="36"/>
      <c r="N435" s="35"/>
      <c r="O435" s="35"/>
      <c r="P435" s="35"/>
      <c r="Q435" s="36"/>
      <c r="R435" s="36"/>
      <c r="S435" s="36"/>
      <c r="T435" s="46"/>
      <c r="U435" s="36"/>
      <c r="V435" s="35"/>
      <c r="W435" s="38" t="str">
        <f t="shared" si="6"/>
        <v/>
      </c>
    </row>
    <row r="436" spans="1:23" x14ac:dyDescent="0.35">
      <c r="A436" s="46"/>
      <c r="B436" s="36"/>
      <c r="C436" s="35"/>
      <c r="D436" s="24"/>
      <c r="E436" s="35"/>
      <c r="F436" s="35"/>
      <c r="G436" s="36"/>
      <c r="H436" s="36"/>
      <c r="I436" s="36"/>
      <c r="J436" s="36"/>
      <c r="K436" s="36"/>
      <c r="L436" s="36"/>
      <c r="M436" s="36"/>
      <c r="N436" s="35"/>
      <c r="O436" s="35"/>
      <c r="P436" s="35"/>
      <c r="Q436" s="36"/>
      <c r="R436" s="36"/>
      <c r="S436" s="36"/>
      <c r="T436" s="46"/>
      <c r="U436" s="36"/>
      <c r="V436" s="35"/>
      <c r="W436" s="38" t="str">
        <f t="shared" si="6"/>
        <v/>
      </c>
    </row>
    <row r="437" spans="1:23" x14ac:dyDescent="0.35">
      <c r="A437" s="46"/>
      <c r="B437" s="36"/>
      <c r="C437" s="35"/>
      <c r="D437" s="24"/>
      <c r="E437" s="35"/>
      <c r="F437" s="35"/>
      <c r="G437" s="36"/>
      <c r="H437" s="36"/>
      <c r="I437" s="36"/>
      <c r="J437" s="36"/>
      <c r="K437" s="36"/>
      <c r="L437" s="36"/>
      <c r="M437" s="36"/>
      <c r="N437" s="35"/>
      <c r="O437" s="35"/>
      <c r="P437" s="35"/>
      <c r="Q437" s="36"/>
      <c r="R437" s="36"/>
      <c r="S437" s="36"/>
      <c r="T437" s="46"/>
      <c r="U437" s="36"/>
      <c r="V437" s="35"/>
      <c r="W437" s="38" t="str">
        <f t="shared" si="6"/>
        <v/>
      </c>
    </row>
    <row r="438" spans="1:23" x14ac:dyDescent="0.35">
      <c r="A438" s="46"/>
      <c r="B438" s="36"/>
      <c r="C438" s="35"/>
      <c r="D438" s="24"/>
      <c r="E438" s="35"/>
      <c r="F438" s="35"/>
      <c r="G438" s="36"/>
      <c r="H438" s="36"/>
      <c r="I438" s="36"/>
      <c r="J438" s="36"/>
      <c r="K438" s="36"/>
      <c r="L438" s="36"/>
      <c r="M438" s="36"/>
      <c r="N438" s="35"/>
      <c r="O438" s="35"/>
      <c r="P438" s="35"/>
      <c r="Q438" s="36"/>
      <c r="R438" s="36"/>
      <c r="S438" s="36"/>
      <c r="T438" s="46"/>
      <c r="U438" s="36"/>
      <c r="V438" s="35"/>
      <c r="W438" s="38" t="str">
        <f t="shared" si="6"/>
        <v/>
      </c>
    </row>
    <row r="439" spans="1:23" x14ac:dyDescent="0.35">
      <c r="A439" s="46"/>
      <c r="B439" s="36"/>
      <c r="C439" s="35"/>
      <c r="D439" s="24"/>
      <c r="E439" s="35"/>
      <c r="F439" s="35"/>
      <c r="G439" s="36"/>
      <c r="H439" s="36"/>
      <c r="I439" s="36"/>
      <c r="J439" s="36"/>
      <c r="K439" s="36"/>
      <c r="L439" s="36"/>
      <c r="M439" s="36"/>
      <c r="N439" s="35"/>
      <c r="O439" s="35"/>
      <c r="P439" s="35"/>
      <c r="Q439" s="36"/>
      <c r="R439" s="36"/>
      <c r="S439" s="36"/>
      <c r="T439" s="46"/>
      <c r="U439" s="36"/>
      <c r="V439" s="35"/>
      <c r="W439" s="38" t="str">
        <f t="shared" si="6"/>
        <v/>
      </c>
    </row>
    <row r="440" spans="1:23" x14ac:dyDescent="0.35">
      <c r="A440" s="46"/>
      <c r="B440" s="36"/>
      <c r="C440" s="35"/>
      <c r="D440" s="24"/>
      <c r="E440" s="35"/>
      <c r="F440" s="35"/>
      <c r="G440" s="36"/>
      <c r="H440" s="36"/>
      <c r="I440" s="36"/>
      <c r="J440" s="36"/>
      <c r="K440" s="36"/>
      <c r="L440" s="36"/>
      <c r="M440" s="36"/>
      <c r="N440" s="35"/>
      <c r="O440" s="35"/>
      <c r="P440" s="35"/>
      <c r="Q440" s="36"/>
      <c r="R440" s="36"/>
      <c r="S440" s="36"/>
      <c r="T440" s="46"/>
      <c r="U440" s="36"/>
      <c r="V440" s="35"/>
      <c r="W440" s="38" t="str">
        <f t="shared" si="6"/>
        <v/>
      </c>
    </row>
    <row r="441" spans="1:23" x14ac:dyDescent="0.35">
      <c r="A441" s="46"/>
      <c r="B441" s="36"/>
      <c r="C441" s="35"/>
      <c r="D441" s="24"/>
      <c r="E441" s="35"/>
      <c r="F441" s="35"/>
      <c r="G441" s="36"/>
      <c r="H441" s="36"/>
      <c r="I441" s="36"/>
      <c r="J441" s="36"/>
      <c r="K441" s="36"/>
      <c r="L441" s="36"/>
      <c r="M441" s="36"/>
      <c r="N441" s="35"/>
      <c r="O441" s="35"/>
      <c r="P441" s="35"/>
      <c r="Q441" s="36"/>
      <c r="R441" s="36"/>
      <c r="S441" s="36"/>
      <c r="T441" s="46"/>
      <c r="U441" s="36"/>
      <c r="V441" s="35"/>
      <c r="W441" s="38" t="str">
        <f t="shared" si="6"/>
        <v/>
      </c>
    </row>
    <row r="442" spans="1:23" x14ac:dyDescent="0.35">
      <c r="A442" s="46"/>
      <c r="B442" s="36"/>
      <c r="C442" s="35"/>
      <c r="D442" s="24"/>
      <c r="E442" s="35"/>
      <c r="F442" s="35"/>
      <c r="G442" s="36"/>
      <c r="H442" s="36"/>
      <c r="I442" s="36"/>
      <c r="J442" s="36"/>
      <c r="K442" s="36"/>
      <c r="L442" s="36"/>
      <c r="M442" s="36"/>
      <c r="N442" s="35"/>
      <c r="O442" s="35"/>
      <c r="P442" s="35"/>
      <c r="Q442" s="36"/>
      <c r="R442" s="36"/>
      <c r="S442" s="36"/>
      <c r="T442" s="46"/>
      <c r="U442" s="36"/>
      <c r="V442" s="35"/>
      <c r="W442" s="38" t="str">
        <f t="shared" si="6"/>
        <v/>
      </c>
    </row>
    <row r="443" spans="1:23" x14ac:dyDescent="0.35">
      <c r="A443" s="46"/>
      <c r="B443" s="36"/>
      <c r="C443" s="35"/>
      <c r="D443" s="24"/>
      <c r="E443" s="35"/>
      <c r="F443" s="35"/>
      <c r="G443" s="36"/>
      <c r="H443" s="36"/>
      <c r="I443" s="36"/>
      <c r="J443" s="36"/>
      <c r="K443" s="36"/>
      <c r="L443" s="36"/>
      <c r="M443" s="36"/>
      <c r="N443" s="35"/>
      <c r="O443" s="35"/>
      <c r="P443" s="35"/>
      <c r="Q443" s="36"/>
      <c r="R443" s="36"/>
      <c r="S443" s="36"/>
      <c r="T443" s="46"/>
      <c r="U443" s="36"/>
      <c r="V443" s="35"/>
      <c r="W443" s="38" t="str">
        <f t="shared" si="6"/>
        <v/>
      </c>
    </row>
    <row r="444" spans="1:23" x14ac:dyDescent="0.35">
      <c r="A444" s="46"/>
      <c r="B444" s="36"/>
      <c r="C444" s="35"/>
      <c r="D444" s="24"/>
      <c r="E444" s="35"/>
      <c r="F444" s="35"/>
      <c r="G444" s="36"/>
      <c r="H444" s="36"/>
      <c r="I444" s="36"/>
      <c r="J444" s="36"/>
      <c r="K444" s="36"/>
      <c r="L444" s="36"/>
      <c r="M444" s="36"/>
      <c r="N444" s="35"/>
      <c r="O444" s="35"/>
      <c r="P444" s="35"/>
      <c r="Q444" s="36"/>
      <c r="R444" s="36"/>
      <c r="S444" s="36"/>
      <c r="T444" s="46"/>
      <c r="U444" s="36"/>
      <c r="V444" s="35"/>
      <c r="W444" s="38" t="str">
        <f t="shared" si="6"/>
        <v/>
      </c>
    </row>
    <row r="445" spans="1:23" x14ac:dyDescent="0.35">
      <c r="A445" s="46"/>
      <c r="B445" s="36"/>
      <c r="C445" s="35"/>
      <c r="D445" s="24"/>
      <c r="E445" s="35"/>
      <c r="F445" s="35"/>
      <c r="G445" s="36"/>
      <c r="H445" s="36"/>
      <c r="I445" s="36"/>
      <c r="J445" s="36"/>
      <c r="K445" s="36"/>
      <c r="L445" s="36"/>
      <c r="M445" s="36"/>
      <c r="N445" s="35"/>
      <c r="O445" s="35"/>
      <c r="P445" s="35"/>
      <c r="Q445" s="36"/>
      <c r="R445" s="36"/>
      <c r="S445" s="36"/>
      <c r="T445" s="46"/>
      <c r="U445" s="36"/>
      <c r="V445" s="35"/>
      <c r="W445" s="38" t="str">
        <f t="shared" si="6"/>
        <v/>
      </c>
    </row>
    <row r="446" spans="1:23" x14ac:dyDescent="0.35">
      <c r="A446" s="46"/>
      <c r="B446" s="36"/>
      <c r="C446" s="35"/>
      <c r="D446" s="24"/>
      <c r="E446" s="35"/>
      <c r="F446" s="35"/>
      <c r="G446" s="36"/>
      <c r="H446" s="36"/>
      <c r="I446" s="36"/>
      <c r="J446" s="36"/>
      <c r="K446" s="36"/>
      <c r="L446" s="36"/>
      <c r="M446" s="36"/>
      <c r="N446" s="35"/>
      <c r="O446" s="35"/>
      <c r="P446" s="35"/>
      <c r="Q446" s="36"/>
      <c r="R446" s="36"/>
      <c r="S446" s="36"/>
      <c r="T446" s="46"/>
      <c r="U446" s="36"/>
      <c r="V446" s="35"/>
      <c r="W446" s="38" t="str">
        <f t="shared" si="6"/>
        <v/>
      </c>
    </row>
    <row r="447" spans="1:23" x14ac:dyDescent="0.35">
      <c r="A447" s="46"/>
      <c r="B447" s="36"/>
      <c r="C447" s="35"/>
      <c r="D447" s="24"/>
      <c r="E447" s="35"/>
      <c r="F447" s="35"/>
      <c r="G447" s="36"/>
      <c r="H447" s="36"/>
      <c r="I447" s="36"/>
      <c r="J447" s="36"/>
      <c r="K447" s="36"/>
      <c r="L447" s="36"/>
      <c r="M447" s="36"/>
      <c r="N447" s="35"/>
      <c r="O447" s="35"/>
      <c r="P447" s="35"/>
      <c r="Q447" s="36"/>
      <c r="R447" s="36"/>
      <c r="S447" s="36"/>
      <c r="T447" s="46"/>
      <c r="U447" s="36"/>
      <c r="V447" s="35"/>
      <c r="W447" s="38" t="str">
        <f t="shared" si="6"/>
        <v/>
      </c>
    </row>
    <row r="448" spans="1:23" x14ac:dyDescent="0.35">
      <c r="A448" s="46"/>
      <c r="B448" s="36"/>
      <c r="C448" s="35"/>
      <c r="D448" s="24"/>
      <c r="E448" s="35"/>
      <c r="F448" s="35"/>
      <c r="G448" s="36"/>
      <c r="H448" s="36"/>
      <c r="I448" s="36"/>
      <c r="J448" s="36"/>
      <c r="K448" s="36"/>
      <c r="L448" s="36"/>
      <c r="M448" s="36"/>
      <c r="N448" s="35"/>
      <c r="O448" s="35"/>
      <c r="P448" s="35"/>
      <c r="Q448" s="36"/>
      <c r="R448" s="36"/>
      <c r="S448" s="36"/>
      <c r="T448" s="46"/>
      <c r="U448" s="36"/>
      <c r="V448" s="35"/>
      <c r="W448" s="38" t="str">
        <f t="shared" si="6"/>
        <v/>
      </c>
    </row>
    <row r="449" spans="1:23" x14ac:dyDescent="0.35">
      <c r="A449" s="46"/>
      <c r="B449" s="36"/>
      <c r="C449" s="35"/>
      <c r="D449" s="24"/>
      <c r="E449" s="35"/>
      <c r="F449" s="35"/>
      <c r="G449" s="36"/>
      <c r="H449" s="36"/>
      <c r="I449" s="36"/>
      <c r="J449" s="36"/>
      <c r="K449" s="36"/>
      <c r="L449" s="36"/>
      <c r="M449" s="36"/>
      <c r="N449" s="35"/>
      <c r="O449" s="35"/>
      <c r="P449" s="35"/>
      <c r="Q449" s="36"/>
      <c r="R449" s="36"/>
      <c r="S449" s="36"/>
      <c r="T449" s="46"/>
      <c r="U449" s="36"/>
      <c r="V449" s="35"/>
      <c r="W449" s="38" t="str">
        <f t="shared" si="6"/>
        <v/>
      </c>
    </row>
    <row r="450" spans="1:23" x14ac:dyDescent="0.35">
      <c r="A450" s="46"/>
      <c r="B450" s="36"/>
      <c r="C450" s="35"/>
      <c r="D450" s="24"/>
      <c r="E450" s="35"/>
      <c r="F450" s="35"/>
      <c r="G450" s="36"/>
      <c r="H450" s="36"/>
      <c r="I450" s="36"/>
      <c r="J450" s="36"/>
      <c r="K450" s="36"/>
      <c r="L450" s="36"/>
      <c r="M450" s="36"/>
      <c r="N450" s="35"/>
      <c r="O450" s="35"/>
      <c r="P450" s="35"/>
      <c r="Q450" s="36"/>
      <c r="R450" s="36"/>
      <c r="S450" s="36"/>
      <c r="T450" s="46"/>
      <c r="U450" s="36"/>
      <c r="V450" s="35"/>
      <c r="W450" s="38" t="str">
        <f t="shared" si="6"/>
        <v/>
      </c>
    </row>
    <row r="451" spans="1:23" x14ac:dyDescent="0.35">
      <c r="A451" s="46"/>
      <c r="B451" s="36"/>
      <c r="C451" s="35"/>
      <c r="D451" s="24"/>
      <c r="E451" s="35"/>
      <c r="F451" s="35"/>
      <c r="G451" s="36"/>
      <c r="H451" s="36"/>
      <c r="I451" s="36"/>
      <c r="J451" s="36"/>
      <c r="K451" s="36"/>
      <c r="L451" s="36"/>
      <c r="M451" s="36"/>
      <c r="N451" s="35"/>
      <c r="O451" s="35"/>
      <c r="P451" s="35"/>
      <c r="Q451" s="36"/>
      <c r="R451" s="36"/>
      <c r="S451" s="36"/>
      <c r="T451" s="46"/>
      <c r="U451" s="36"/>
      <c r="V451" s="35"/>
      <c r="W451" s="38" t="str">
        <f t="shared" si="6"/>
        <v/>
      </c>
    </row>
    <row r="452" spans="1:23" x14ac:dyDescent="0.35">
      <c r="A452" s="46"/>
      <c r="B452" s="36"/>
      <c r="C452" s="35"/>
      <c r="D452" s="24"/>
      <c r="E452" s="35"/>
      <c r="F452" s="35"/>
      <c r="G452" s="36"/>
      <c r="H452" s="36"/>
      <c r="I452" s="36"/>
      <c r="J452" s="36"/>
      <c r="K452" s="36"/>
      <c r="L452" s="36"/>
      <c r="M452" s="36"/>
      <c r="N452" s="35"/>
      <c r="O452" s="35"/>
      <c r="P452" s="35"/>
      <c r="Q452" s="36"/>
      <c r="R452" s="36"/>
      <c r="S452" s="36"/>
      <c r="T452" s="46"/>
      <c r="U452" s="36"/>
      <c r="V452" s="35"/>
      <c r="W452" s="38" t="str">
        <f t="shared" si="6"/>
        <v/>
      </c>
    </row>
    <row r="453" spans="1:23" x14ac:dyDescent="0.35">
      <c r="A453" s="46"/>
      <c r="B453" s="36"/>
      <c r="C453" s="35"/>
      <c r="D453" s="24"/>
      <c r="E453" s="35"/>
      <c r="F453" s="35"/>
      <c r="G453" s="36"/>
      <c r="H453" s="36"/>
      <c r="I453" s="36"/>
      <c r="J453" s="36"/>
      <c r="K453" s="36"/>
      <c r="L453" s="36"/>
      <c r="M453" s="36"/>
      <c r="N453" s="35"/>
      <c r="O453" s="35"/>
      <c r="P453" s="35"/>
      <c r="Q453" s="36"/>
      <c r="R453" s="36"/>
      <c r="S453" s="36"/>
      <c r="T453" s="46"/>
      <c r="U453" s="36"/>
      <c r="V453" s="35"/>
      <c r="W453" s="38" t="str">
        <f t="shared" si="6"/>
        <v/>
      </c>
    </row>
    <row r="454" spans="1:23" x14ac:dyDescent="0.35">
      <c r="A454" s="46"/>
      <c r="B454" s="36"/>
      <c r="C454" s="35"/>
      <c r="D454" s="24"/>
      <c r="E454" s="35"/>
      <c r="F454" s="35"/>
      <c r="G454" s="36"/>
      <c r="H454" s="36"/>
      <c r="I454" s="36"/>
      <c r="J454" s="36"/>
      <c r="K454" s="36"/>
      <c r="L454" s="36"/>
      <c r="M454" s="36"/>
      <c r="N454" s="35"/>
      <c r="O454" s="35"/>
      <c r="P454" s="35"/>
      <c r="Q454" s="36"/>
      <c r="R454" s="36"/>
      <c r="S454" s="36"/>
      <c r="T454" s="46"/>
      <c r="U454" s="36"/>
      <c r="V454" s="35"/>
      <c r="W454" s="38" t="str">
        <f t="shared" ref="W454:W517" si="7">IF(OR(A454="",C454=""),"",INT(A454)&amp;"|"&amp;C454)</f>
        <v/>
      </c>
    </row>
    <row r="455" spans="1:23" x14ac:dyDescent="0.35">
      <c r="A455" s="46"/>
      <c r="B455" s="36"/>
      <c r="C455" s="35"/>
      <c r="D455" s="24"/>
      <c r="E455" s="35"/>
      <c r="F455" s="35"/>
      <c r="G455" s="36"/>
      <c r="H455" s="36"/>
      <c r="I455" s="36"/>
      <c r="J455" s="36"/>
      <c r="K455" s="36"/>
      <c r="L455" s="36"/>
      <c r="M455" s="36"/>
      <c r="N455" s="35"/>
      <c r="O455" s="35"/>
      <c r="P455" s="35"/>
      <c r="Q455" s="36"/>
      <c r="R455" s="36"/>
      <c r="S455" s="36"/>
      <c r="T455" s="46"/>
      <c r="U455" s="36"/>
      <c r="V455" s="35"/>
      <c r="W455" s="38" t="str">
        <f t="shared" si="7"/>
        <v/>
      </c>
    </row>
    <row r="456" spans="1:23" x14ac:dyDescent="0.35">
      <c r="A456" s="46"/>
      <c r="B456" s="36"/>
      <c r="C456" s="35"/>
      <c r="D456" s="24"/>
      <c r="E456" s="35"/>
      <c r="F456" s="35"/>
      <c r="G456" s="36"/>
      <c r="H456" s="36"/>
      <c r="I456" s="36"/>
      <c r="J456" s="36"/>
      <c r="K456" s="36"/>
      <c r="L456" s="36"/>
      <c r="M456" s="36"/>
      <c r="N456" s="35"/>
      <c r="O456" s="35"/>
      <c r="P456" s="35"/>
      <c r="Q456" s="36"/>
      <c r="R456" s="36"/>
      <c r="S456" s="36"/>
      <c r="T456" s="46"/>
      <c r="U456" s="36"/>
      <c r="V456" s="35"/>
      <c r="W456" s="38" t="str">
        <f t="shared" si="7"/>
        <v/>
      </c>
    </row>
    <row r="457" spans="1:23" x14ac:dyDescent="0.35">
      <c r="A457" s="46"/>
      <c r="B457" s="36"/>
      <c r="C457" s="35"/>
      <c r="D457" s="24"/>
      <c r="E457" s="35"/>
      <c r="F457" s="35"/>
      <c r="G457" s="36"/>
      <c r="H457" s="36"/>
      <c r="I457" s="36"/>
      <c r="J457" s="36"/>
      <c r="K457" s="36"/>
      <c r="L457" s="36"/>
      <c r="M457" s="36"/>
      <c r="N457" s="35"/>
      <c r="O457" s="35"/>
      <c r="P457" s="35"/>
      <c r="Q457" s="36"/>
      <c r="R457" s="36"/>
      <c r="S457" s="36"/>
      <c r="T457" s="46"/>
      <c r="U457" s="36"/>
      <c r="V457" s="35"/>
      <c r="W457" s="38" t="str">
        <f t="shared" si="7"/>
        <v/>
      </c>
    </row>
    <row r="458" spans="1:23" x14ac:dyDescent="0.35">
      <c r="A458" s="46"/>
      <c r="B458" s="36"/>
      <c r="C458" s="35"/>
      <c r="D458" s="24"/>
      <c r="E458" s="35"/>
      <c r="F458" s="35"/>
      <c r="G458" s="36"/>
      <c r="H458" s="36"/>
      <c r="I458" s="36"/>
      <c r="J458" s="36"/>
      <c r="K458" s="36"/>
      <c r="L458" s="36"/>
      <c r="M458" s="36"/>
      <c r="N458" s="35"/>
      <c r="O458" s="35"/>
      <c r="P458" s="35"/>
      <c r="Q458" s="36"/>
      <c r="R458" s="36"/>
      <c r="S458" s="36"/>
      <c r="T458" s="46"/>
      <c r="U458" s="36"/>
      <c r="V458" s="35"/>
      <c r="W458" s="38" t="str">
        <f t="shared" si="7"/>
        <v/>
      </c>
    </row>
    <row r="459" spans="1:23" x14ac:dyDescent="0.35">
      <c r="A459" s="46"/>
      <c r="B459" s="36"/>
      <c r="C459" s="35"/>
      <c r="D459" s="24"/>
      <c r="E459" s="35"/>
      <c r="F459" s="35"/>
      <c r="G459" s="36"/>
      <c r="H459" s="36"/>
      <c r="I459" s="36"/>
      <c r="J459" s="36"/>
      <c r="K459" s="36"/>
      <c r="L459" s="36"/>
      <c r="M459" s="36"/>
      <c r="N459" s="35"/>
      <c r="O459" s="35"/>
      <c r="P459" s="35"/>
      <c r="Q459" s="36"/>
      <c r="R459" s="36"/>
      <c r="S459" s="36"/>
      <c r="T459" s="46"/>
      <c r="U459" s="36"/>
      <c r="V459" s="35"/>
      <c r="W459" s="38" t="str">
        <f t="shared" si="7"/>
        <v/>
      </c>
    </row>
    <row r="460" spans="1:23" x14ac:dyDescent="0.35">
      <c r="A460" s="46"/>
      <c r="B460" s="36"/>
      <c r="C460" s="35"/>
      <c r="D460" s="24"/>
      <c r="E460" s="35"/>
      <c r="F460" s="35"/>
      <c r="G460" s="36"/>
      <c r="H460" s="36"/>
      <c r="I460" s="36"/>
      <c r="J460" s="36"/>
      <c r="K460" s="36"/>
      <c r="L460" s="36"/>
      <c r="M460" s="36"/>
      <c r="N460" s="35"/>
      <c r="O460" s="35"/>
      <c r="P460" s="35"/>
      <c r="Q460" s="36"/>
      <c r="R460" s="36"/>
      <c r="S460" s="36"/>
      <c r="T460" s="46"/>
      <c r="U460" s="36"/>
      <c r="V460" s="35"/>
      <c r="W460" s="38" t="str">
        <f t="shared" si="7"/>
        <v/>
      </c>
    </row>
    <row r="461" spans="1:23" x14ac:dyDescent="0.35">
      <c r="A461" s="46"/>
      <c r="B461" s="36"/>
      <c r="C461" s="35"/>
      <c r="D461" s="24"/>
      <c r="E461" s="35"/>
      <c r="F461" s="35"/>
      <c r="G461" s="36"/>
      <c r="H461" s="36"/>
      <c r="I461" s="36"/>
      <c r="J461" s="36"/>
      <c r="K461" s="36"/>
      <c r="L461" s="36"/>
      <c r="M461" s="36"/>
      <c r="N461" s="35"/>
      <c r="O461" s="35"/>
      <c r="P461" s="35"/>
      <c r="Q461" s="36"/>
      <c r="R461" s="36"/>
      <c r="S461" s="36"/>
      <c r="T461" s="46"/>
      <c r="U461" s="36"/>
      <c r="V461" s="35"/>
      <c r="W461" s="38" t="str">
        <f t="shared" si="7"/>
        <v/>
      </c>
    </row>
    <row r="462" spans="1:23" x14ac:dyDescent="0.35">
      <c r="A462" s="46"/>
      <c r="B462" s="36"/>
      <c r="C462" s="35"/>
      <c r="D462" s="24"/>
      <c r="E462" s="35"/>
      <c r="F462" s="35"/>
      <c r="G462" s="36"/>
      <c r="H462" s="36"/>
      <c r="I462" s="36"/>
      <c r="J462" s="36"/>
      <c r="K462" s="36"/>
      <c r="L462" s="36"/>
      <c r="M462" s="36"/>
      <c r="N462" s="35"/>
      <c r="O462" s="35"/>
      <c r="P462" s="35"/>
      <c r="Q462" s="36"/>
      <c r="R462" s="36"/>
      <c r="S462" s="36"/>
      <c r="T462" s="46"/>
      <c r="U462" s="36"/>
      <c r="V462" s="35"/>
      <c r="W462" s="38" t="str">
        <f t="shared" si="7"/>
        <v/>
      </c>
    </row>
    <row r="463" spans="1:23" x14ac:dyDescent="0.35">
      <c r="A463" s="46"/>
      <c r="B463" s="36"/>
      <c r="C463" s="35"/>
      <c r="D463" s="24"/>
      <c r="E463" s="35"/>
      <c r="F463" s="35"/>
      <c r="G463" s="36"/>
      <c r="H463" s="36"/>
      <c r="I463" s="36"/>
      <c r="J463" s="36"/>
      <c r="K463" s="36"/>
      <c r="L463" s="36"/>
      <c r="M463" s="36"/>
      <c r="N463" s="35"/>
      <c r="O463" s="35"/>
      <c r="P463" s="35"/>
      <c r="Q463" s="36"/>
      <c r="R463" s="36"/>
      <c r="S463" s="36"/>
      <c r="T463" s="46"/>
      <c r="U463" s="36"/>
      <c r="V463" s="35"/>
      <c r="W463" s="38" t="str">
        <f t="shared" si="7"/>
        <v/>
      </c>
    </row>
    <row r="464" spans="1:23" x14ac:dyDescent="0.35">
      <c r="A464" s="46"/>
      <c r="B464" s="36"/>
      <c r="C464" s="35"/>
      <c r="D464" s="24"/>
      <c r="E464" s="35"/>
      <c r="F464" s="35"/>
      <c r="G464" s="36"/>
      <c r="H464" s="36"/>
      <c r="I464" s="36"/>
      <c r="J464" s="36"/>
      <c r="K464" s="36"/>
      <c r="L464" s="36"/>
      <c r="M464" s="36"/>
      <c r="N464" s="35"/>
      <c r="O464" s="35"/>
      <c r="P464" s="35"/>
      <c r="Q464" s="36"/>
      <c r="R464" s="36"/>
      <c r="S464" s="36"/>
      <c r="T464" s="46"/>
      <c r="U464" s="36"/>
      <c r="V464" s="35"/>
      <c r="W464" s="38" t="str">
        <f t="shared" si="7"/>
        <v/>
      </c>
    </row>
    <row r="465" spans="1:23" x14ac:dyDescent="0.35">
      <c r="A465" s="46"/>
      <c r="B465" s="36"/>
      <c r="C465" s="35"/>
      <c r="D465" s="24"/>
      <c r="E465" s="35"/>
      <c r="F465" s="35"/>
      <c r="G465" s="36"/>
      <c r="H465" s="36"/>
      <c r="I465" s="36"/>
      <c r="J465" s="36"/>
      <c r="K465" s="36"/>
      <c r="L465" s="36"/>
      <c r="M465" s="36"/>
      <c r="N465" s="35"/>
      <c r="O465" s="35"/>
      <c r="P465" s="35"/>
      <c r="Q465" s="36"/>
      <c r="R465" s="36"/>
      <c r="S465" s="36"/>
      <c r="T465" s="46"/>
      <c r="U465" s="36"/>
      <c r="V465" s="35"/>
      <c r="W465" s="38" t="str">
        <f t="shared" si="7"/>
        <v/>
      </c>
    </row>
    <row r="466" spans="1:23" x14ac:dyDescent="0.35">
      <c r="A466" s="46"/>
      <c r="B466" s="36"/>
      <c r="C466" s="35"/>
      <c r="D466" s="24"/>
      <c r="E466" s="35"/>
      <c r="F466" s="35"/>
      <c r="G466" s="36"/>
      <c r="H466" s="36"/>
      <c r="I466" s="36"/>
      <c r="J466" s="36"/>
      <c r="K466" s="36"/>
      <c r="L466" s="36"/>
      <c r="M466" s="36"/>
      <c r="N466" s="35"/>
      <c r="O466" s="35"/>
      <c r="P466" s="35"/>
      <c r="Q466" s="36"/>
      <c r="R466" s="36"/>
      <c r="S466" s="36"/>
      <c r="T466" s="46"/>
      <c r="U466" s="36"/>
      <c r="V466" s="35"/>
      <c r="W466" s="38" t="str">
        <f t="shared" si="7"/>
        <v/>
      </c>
    </row>
    <row r="467" spans="1:23" x14ac:dyDescent="0.35">
      <c r="A467" s="46"/>
      <c r="B467" s="36"/>
      <c r="C467" s="35"/>
      <c r="D467" s="24"/>
      <c r="E467" s="35"/>
      <c r="F467" s="35"/>
      <c r="G467" s="36"/>
      <c r="H467" s="36"/>
      <c r="I467" s="36"/>
      <c r="J467" s="36"/>
      <c r="K467" s="36"/>
      <c r="L467" s="36"/>
      <c r="M467" s="36"/>
      <c r="N467" s="35"/>
      <c r="O467" s="35"/>
      <c r="P467" s="35"/>
      <c r="Q467" s="36"/>
      <c r="R467" s="36"/>
      <c r="S467" s="36"/>
      <c r="T467" s="46"/>
      <c r="U467" s="36"/>
      <c r="V467" s="35"/>
      <c r="W467" s="38" t="str">
        <f t="shared" si="7"/>
        <v/>
      </c>
    </row>
    <row r="468" spans="1:23" x14ac:dyDescent="0.35">
      <c r="A468" s="46"/>
      <c r="B468" s="36"/>
      <c r="C468" s="35"/>
      <c r="D468" s="24"/>
      <c r="E468" s="35"/>
      <c r="F468" s="35"/>
      <c r="G468" s="36"/>
      <c r="H468" s="36"/>
      <c r="I468" s="36"/>
      <c r="J468" s="36"/>
      <c r="K468" s="36"/>
      <c r="L468" s="36"/>
      <c r="M468" s="36"/>
      <c r="N468" s="35"/>
      <c r="O468" s="35"/>
      <c r="P468" s="35"/>
      <c r="Q468" s="36"/>
      <c r="R468" s="36"/>
      <c r="S468" s="36"/>
      <c r="T468" s="46"/>
      <c r="U468" s="36"/>
      <c r="V468" s="35"/>
      <c r="W468" s="38" t="str">
        <f t="shared" si="7"/>
        <v/>
      </c>
    </row>
    <row r="469" spans="1:23" x14ac:dyDescent="0.35">
      <c r="A469" s="46"/>
      <c r="B469" s="36"/>
      <c r="C469" s="35"/>
      <c r="D469" s="24"/>
      <c r="E469" s="35"/>
      <c r="F469" s="35"/>
      <c r="G469" s="36"/>
      <c r="H469" s="36"/>
      <c r="I469" s="36"/>
      <c r="J469" s="36"/>
      <c r="K469" s="36"/>
      <c r="L469" s="36"/>
      <c r="M469" s="36"/>
      <c r="N469" s="35"/>
      <c r="O469" s="35"/>
      <c r="P469" s="35"/>
      <c r="Q469" s="36"/>
      <c r="R469" s="36"/>
      <c r="S469" s="36"/>
      <c r="T469" s="46"/>
      <c r="U469" s="36"/>
      <c r="V469" s="35"/>
      <c r="W469" s="38" t="str">
        <f t="shared" si="7"/>
        <v/>
      </c>
    </row>
    <row r="470" spans="1:23" x14ac:dyDescent="0.35">
      <c r="A470" s="46"/>
      <c r="B470" s="36"/>
      <c r="C470" s="35"/>
      <c r="D470" s="24"/>
      <c r="E470" s="35"/>
      <c r="F470" s="35"/>
      <c r="G470" s="36"/>
      <c r="H470" s="36"/>
      <c r="I470" s="36"/>
      <c r="J470" s="36"/>
      <c r="K470" s="36"/>
      <c r="L470" s="36"/>
      <c r="M470" s="36"/>
      <c r="N470" s="35"/>
      <c r="O470" s="35"/>
      <c r="P470" s="35"/>
      <c r="Q470" s="36"/>
      <c r="R470" s="36"/>
      <c r="S470" s="36"/>
      <c r="T470" s="46"/>
      <c r="U470" s="36"/>
      <c r="V470" s="35"/>
      <c r="W470" s="38" t="str">
        <f t="shared" si="7"/>
        <v/>
      </c>
    </row>
    <row r="471" spans="1:23" x14ac:dyDescent="0.35">
      <c r="A471" s="46"/>
      <c r="B471" s="36"/>
      <c r="C471" s="35"/>
      <c r="D471" s="24"/>
      <c r="E471" s="35"/>
      <c r="F471" s="35"/>
      <c r="G471" s="36"/>
      <c r="H471" s="36"/>
      <c r="I471" s="36"/>
      <c r="J471" s="36"/>
      <c r="K471" s="36"/>
      <c r="L471" s="36"/>
      <c r="M471" s="36"/>
      <c r="N471" s="35"/>
      <c r="O471" s="35"/>
      <c r="P471" s="35"/>
      <c r="Q471" s="36"/>
      <c r="R471" s="36"/>
      <c r="S471" s="36"/>
      <c r="T471" s="46"/>
      <c r="U471" s="36"/>
      <c r="V471" s="35"/>
      <c r="W471" s="38" t="str">
        <f t="shared" si="7"/>
        <v/>
      </c>
    </row>
    <row r="472" spans="1:23" x14ac:dyDescent="0.35">
      <c r="A472" s="46"/>
      <c r="B472" s="36"/>
      <c r="C472" s="35"/>
      <c r="D472" s="24"/>
      <c r="E472" s="35"/>
      <c r="F472" s="35"/>
      <c r="G472" s="36"/>
      <c r="H472" s="36"/>
      <c r="I472" s="36"/>
      <c r="J472" s="36"/>
      <c r="K472" s="36"/>
      <c r="L472" s="36"/>
      <c r="M472" s="36"/>
      <c r="N472" s="35"/>
      <c r="O472" s="35"/>
      <c r="P472" s="35"/>
      <c r="Q472" s="36"/>
      <c r="R472" s="36"/>
      <c r="S472" s="36"/>
      <c r="T472" s="46"/>
      <c r="U472" s="36"/>
      <c r="V472" s="35"/>
      <c r="W472" s="38" t="str">
        <f t="shared" si="7"/>
        <v/>
      </c>
    </row>
    <row r="473" spans="1:23" x14ac:dyDescent="0.35">
      <c r="A473" s="46"/>
      <c r="B473" s="36"/>
      <c r="C473" s="35"/>
      <c r="D473" s="24"/>
      <c r="E473" s="35"/>
      <c r="F473" s="35"/>
      <c r="G473" s="36"/>
      <c r="H473" s="36"/>
      <c r="I473" s="36"/>
      <c r="J473" s="36"/>
      <c r="K473" s="36"/>
      <c r="L473" s="36"/>
      <c r="M473" s="36"/>
      <c r="N473" s="35"/>
      <c r="O473" s="35"/>
      <c r="P473" s="35"/>
      <c r="Q473" s="36"/>
      <c r="R473" s="36"/>
      <c r="S473" s="36"/>
      <c r="T473" s="46"/>
      <c r="U473" s="36"/>
      <c r="V473" s="35"/>
      <c r="W473" s="38" t="str">
        <f t="shared" si="7"/>
        <v/>
      </c>
    </row>
    <row r="474" spans="1:23" x14ac:dyDescent="0.35">
      <c r="A474" s="46"/>
      <c r="B474" s="36"/>
      <c r="C474" s="35"/>
      <c r="D474" s="24"/>
      <c r="E474" s="35"/>
      <c r="F474" s="35"/>
      <c r="G474" s="36"/>
      <c r="H474" s="36"/>
      <c r="I474" s="36"/>
      <c r="J474" s="36"/>
      <c r="K474" s="36"/>
      <c r="L474" s="36"/>
      <c r="M474" s="36"/>
      <c r="N474" s="35"/>
      <c r="O474" s="35"/>
      <c r="P474" s="35"/>
      <c r="Q474" s="36"/>
      <c r="R474" s="36"/>
      <c r="S474" s="36"/>
      <c r="T474" s="46"/>
      <c r="U474" s="36"/>
      <c r="V474" s="35"/>
      <c r="W474" s="38" t="str">
        <f t="shared" si="7"/>
        <v/>
      </c>
    </row>
    <row r="475" spans="1:23" x14ac:dyDescent="0.35">
      <c r="A475" s="46"/>
      <c r="B475" s="36"/>
      <c r="C475" s="35"/>
      <c r="D475" s="24"/>
      <c r="E475" s="35"/>
      <c r="F475" s="35"/>
      <c r="G475" s="36"/>
      <c r="H475" s="36"/>
      <c r="I475" s="36"/>
      <c r="J475" s="36"/>
      <c r="K475" s="36"/>
      <c r="L475" s="36"/>
      <c r="M475" s="36"/>
      <c r="N475" s="35"/>
      <c r="O475" s="35"/>
      <c r="P475" s="35"/>
      <c r="Q475" s="36"/>
      <c r="R475" s="36"/>
      <c r="S475" s="36"/>
      <c r="T475" s="46"/>
      <c r="U475" s="36"/>
      <c r="V475" s="35"/>
      <c r="W475" s="38" t="str">
        <f t="shared" si="7"/>
        <v/>
      </c>
    </row>
    <row r="476" spans="1:23" x14ac:dyDescent="0.35">
      <c r="A476" s="46"/>
      <c r="B476" s="36"/>
      <c r="C476" s="35"/>
      <c r="D476" s="24"/>
      <c r="E476" s="35"/>
      <c r="F476" s="35"/>
      <c r="G476" s="36"/>
      <c r="H476" s="36"/>
      <c r="I476" s="36"/>
      <c r="J476" s="36"/>
      <c r="K476" s="36"/>
      <c r="L476" s="36"/>
      <c r="M476" s="36"/>
      <c r="N476" s="35"/>
      <c r="O476" s="35"/>
      <c r="P476" s="35"/>
      <c r="Q476" s="36"/>
      <c r="R476" s="36"/>
      <c r="S476" s="36"/>
      <c r="T476" s="46"/>
      <c r="U476" s="36"/>
      <c r="V476" s="35"/>
      <c r="W476" s="38" t="str">
        <f t="shared" si="7"/>
        <v/>
      </c>
    </row>
    <row r="477" spans="1:23" x14ac:dyDescent="0.35">
      <c r="A477" s="46"/>
      <c r="B477" s="36"/>
      <c r="C477" s="35"/>
      <c r="D477" s="24"/>
      <c r="E477" s="35"/>
      <c r="F477" s="35"/>
      <c r="G477" s="36"/>
      <c r="H477" s="36"/>
      <c r="I477" s="36"/>
      <c r="J477" s="36"/>
      <c r="K477" s="36"/>
      <c r="L477" s="36"/>
      <c r="M477" s="36"/>
      <c r="N477" s="35"/>
      <c r="O477" s="35"/>
      <c r="P477" s="35"/>
      <c r="Q477" s="36"/>
      <c r="R477" s="36"/>
      <c r="S477" s="36"/>
      <c r="T477" s="46"/>
      <c r="U477" s="36"/>
      <c r="V477" s="35"/>
      <c r="W477" s="38" t="str">
        <f t="shared" si="7"/>
        <v/>
      </c>
    </row>
    <row r="478" spans="1:23" x14ac:dyDescent="0.35">
      <c r="A478" s="46"/>
      <c r="B478" s="36"/>
      <c r="C478" s="35"/>
      <c r="D478" s="24"/>
      <c r="E478" s="35"/>
      <c r="F478" s="35"/>
      <c r="G478" s="36"/>
      <c r="H478" s="36"/>
      <c r="I478" s="36"/>
      <c r="J478" s="36"/>
      <c r="K478" s="36"/>
      <c r="L478" s="36"/>
      <c r="M478" s="36"/>
      <c r="N478" s="35"/>
      <c r="O478" s="35"/>
      <c r="P478" s="35"/>
      <c r="Q478" s="36"/>
      <c r="R478" s="36"/>
      <c r="S478" s="36"/>
      <c r="T478" s="46"/>
      <c r="U478" s="36"/>
      <c r="V478" s="35"/>
      <c r="W478" s="38" t="str">
        <f t="shared" si="7"/>
        <v/>
      </c>
    </row>
    <row r="479" spans="1:23" x14ac:dyDescent="0.35">
      <c r="A479" s="46"/>
      <c r="B479" s="36"/>
      <c r="C479" s="35"/>
      <c r="D479" s="24"/>
      <c r="E479" s="35"/>
      <c r="F479" s="35"/>
      <c r="G479" s="36"/>
      <c r="H479" s="36"/>
      <c r="I479" s="36"/>
      <c r="J479" s="36"/>
      <c r="K479" s="36"/>
      <c r="L479" s="36"/>
      <c r="M479" s="36"/>
      <c r="N479" s="35"/>
      <c r="O479" s="35"/>
      <c r="P479" s="35"/>
      <c r="Q479" s="36"/>
      <c r="R479" s="36"/>
      <c r="S479" s="36"/>
      <c r="T479" s="46"/>
      <c r="U479" s="36"/>
      <c r="V479" s="35"/>
      <c r="W479" s="38" t="str">
        <f t="shared" si="7"/>
        <v/>
      </c>
    </row>
    <row r="480" spans="1:23" x14ac:dyDescent="0.35">
      <c r="A480" s="46"/>
      <c r="B480" s="36"/>
      <c r="C480" s="35"/>
      <c r="D480" s="24"/>
      <c r="E480" s="35"/>
      <c r="F480" s="35"/>
      <c r="G480" s="36"/>
      <c r="H480" s="36"/>
      <c r="I480" s="36"/>
      <c r="J480" s="36"/>
      <c r="K480" s="36"/>
      <c r="L480" s="36"/>
      <c r="M480" s="36"/>
      <c r="N480" s="35"/>
      <c r="O480" s="35"/>
      <c r="P480" s="35"/>
      <c r="Q480" s="36"/>
      <c r="R480" s="36"/>
      <c r="S480" s="36"/>
      <c r="T480" s="46"/>
      <c r="U480" s="36"/>
      <c r="V480" s="35"/>
      <c r="W480" s="38" t="str">
        <f t="shared" si="7"/>
        <v/>
      </c>
    </row>
    <row r="481" spans="1:23" x14ac:dyDescent="0.35">
      <c r="A481" s="46"/>
      <c r="B481" s="36"/>
      <c r="C481" s="35"/>
      <c r="D481" s="24"/>
      <c r="E481" s="35"/>
      <c r="F481" s="35"/>
      <c r="G481" s="36"/>
      <c r="H481" s="36"/>
      <c r="I481" s="36"/>
      <c r="J481" s="36"/>
      <c r="K481" s="36"/>
      <c r="L481" s="36"/>
      <c r="M481" s="36"/>
      <c r="N481" s="35"/>
      <c r="O481" s="35"/>
      <c r="P481" s="35"/>
      <c r="Q481" s="36"/>
      <c r="R481" s="36"/>
      <c r="S481" s="36"/>
      <c r="T481" s="46"/>
      <c r="U481" s="36"/>
      <c r="V481" s="35"/>
      <c r="W481" s="38" t="str">
        <f t="shared" si="7"/>
        <v/>
      </c>
    </row>
    <row r="482" spans="1:23" x14ac:dyDescent="0.35">
      <c r="A482" s="46"/>
      <c r="B482" s="36"/>
      <c r="C482" s="35"/>
      <c r="D482" s="24"/>
      <c r="E482" s="35"/>
      <c r="F482" s="35"/>
      <c r="G482" s="36"/>
      <c r="H482" s="36"/>
      <c r="I482" s="36"/>
      <c r="J482" s="36"/>
      <c r="K482" s="36"/>
      <c r="L482" s="36"/>
      <c r="M482" s="36"/>
      <c r="N482" s="35"/>
      <c r="O482" s="35"/>
      <c r="P482" s="35"/>
      <c r="Q482" s="36"/>
      <c r="R482" s="36"/>
      <c r="S482" s="36"/>
      <c r="T482" s="46"/>
      <c r="U482" s="36"/>
      <c r="V482" s="35"/>
      <c r="W482" s="38" t="str">
        <f t="shared" si="7"/>
        <v/>
      </c>
    </row>
    <row r="483" spans="1:23" x14ac:dyDescent="0.35">
      <c r="A483" s="46"/>
      <c r="B483" s="36"/>
      <c r="C483" s="35"/>
      <c r="D483" s="24"/>
      <c r="E483" s="35"/>
      <c r="F483" s="35"/>
      <c r="G483" s="36"/>
      <c r="H483" s="36"/>
      <c r="I483" s="36"/>
      <c r="J483" s="36"/>
      <c r="K483" s="36"/>
      <c r="L483" s="36"/>
      <c r="M483" s="36"/>
      <c r="N483" s="35"/>
      <c r="O483" s="35"/>
      <c r="P483" s="35"/>
      <c r="Q483" s="36"/>
      <c r="R483" s="36"/>
      <c r="S483" s="36"/>
      <c r="T483" s="46"/>
      <c r="U483" s="36"/>
      <c r="V483" s="35"/>
      <c r="W483" s="38" t="str">
        <f t="shared" si="7"/>
        <v/>
      </c>
    </row>
    <row r="484" spans="1:23" x14ac:dyDescent="0.35">
      <c r="A484" s="46"/>
      <c r="B484" s="36"/>
      <c r="C484" s="35"/>
      <c r="D484" s="24"/>
      <c r="E484" s="35"/>
      <c r="F484" s="35"/>
      <c r="G484" s="36"/>
      <c r="H484" s="36"/>
      <c r="I484" s="36"/>
      <c r="J484" s="36"/>
      <c r="K484" s="36"/>
      <c r="L484" s="36"/>
      <c r="M484" s="36"/>
      <c r="N484" s="35"/>
      <c r="O484" s="35"/>
      <c r="P484" s="35"/>
      <c r="Q484" s="36"/>
      <c r="R484" s="36"/>
      <c r="S484" s="36"/>
      <c r="T484" s="46"/>
      <c r="U484" s="36"/>
      <c r="V484" s="35"/>
      <c r="W484" s="38" t="str">
        <f t="shared" si="7"/>
        <v/>
      </c>
    </row>
    <row r="485" spans="1:23" x14ac:dyDescent="0.35">
      <c r="A485" s="46"/>
      <c r="B485" s="36"/>
      <c r="C485" s="35"/>
      <c r="D485" s="24"/>
      <c r="E485" s="35"/>
      <c r="F485" s="35"/>
      <c r="G485" s="36"/>
      <c r="H485" s="36"/>
      <c r="I485" s="36"/>
      <c r="J485" s="36"/>
      <c r="K485" s="36"/>
      <c r="L485" s="36"/>
      <c r="M485" s="36"/>
      <c r="N485" s="35"/>
      <c r="O485" s="35"/>
      <c r="P485" s="35"/>
      <c r="Q485" s="36"/>
      <c r="R485" s="36"/>
      <c r="S485" s="36"/>
      <c r="T485" s="46"/>
      <c r="U485" s="36"/>
      <c r="V485" s="35"/>
      <c r="W485" s="38" t="str">
        <f t="shared" si="7"/>
        <v/>
      </c>
    </row>
    <row r="486" spans="1:23" x14ac:dyDescent="0.35">
      <c r="A486" s="46"/>
      <c r="B486" s="36"/>
      <c r="C486" s="35"/>
      <c r="D486" s="24"/>
      <c r="E486" s="35"/>
      <c r="F486" s="35"/>
      <c r="G486" s="36"/>
      <c r="H486" s="36"/>
      <c r="I486" s="36"/>
      <c r="J486" s="36"/>
      <c r="K486" s="36"/>
      <c r="L486" s="36"/>
      <c r="M486" s="36"/>
      <c r="N486" s="35"/>
      <c r="O486" s="35"/>
      <c r="P486" s="35"/>
      <c r="Q486" s="36"/>
      <c r="R486" s="36"/>
      <c r="S486" s="36"/>
      <c r="T486" s="46"/>
      <c r="U486" s="36"/>
      <c r="V486" s="35"/>
      <c r="W486" s="38" t="str">
        <f t="shared" si="7"/>
        <v/>
      </c>
    </row>
    <row r="487" spans="1:23" x14ac:dyDescent="0.35">
      <c r="A487" s="46"/>
      <c r="B487" s="36"/>
      <c r="C487" s="35"/>
      <c r="D487" s="24"/>
      <c r="E487" s="35"/>
      <c r="F487" s="35"/>
      <c r="G487" s="36"/>
      <c r="H487" s="36"/>
      <c r="I487" s="36"/>
      <c r="J487" s="36"/>
      <c r="K487" s="36"/>
      <c r="L487" s="36"/>
      <c r="M487" s="36"/>
      <c r="N487" s="35"/>
      <c r="O487" s="35"/>
      <c r="P487" s="35"/>
      <c r="Q487" s="36"/>
      <c r="R487" s="36"/>
      <c r="S487" s="36"/>
      <c r="T487" s="46"/>
      <c r="U487" s="36"/>
      <c r="V487" s="35"/>
      <c r="W487" s="38" t="str">
        <f t="shared" si="7"/>
        <v/>
      </c>
    </row>
    <row r="488" spans="1:23" x14ac:dyDescent="0.35">
      <c r="A488" s="46"/>
      <c r="B488" s="36"/>
      <c r="C488" s="35"/>
      <c r="D488" s="24"/>
      <c r="E488" s="35"/>
      <c r="F488" s="35"/>
      <c r="G488" s="36"/>
      <c r="H488" s="36"/>
      <c r="I488" s="36"/>
      <c r="J488" s="36"/>
      <c r="K488" s="36"/>
      <c r="L488" s="36"/>
      <c r="M488" s="36"/>
      <c r="N488" s="35"/>
      <c r="O488" s="35"/>
      <c r="P488" s="35"/>
      <c r="Q488" s="36"/>
      <c r="R488" s="36"/>
      <c r="S488" s="36"/>
      <c r="T488" s="46"/>
      <c r="U488" s="36"/>
      <c r="V488" s="35"/>
      <c r="W488" s="38" t="str">
        <f t="shared" si="7"/>
        <v/>
      </c>
    </row>
    <row r="489" spans="1:23" x14ac:dyDescent="0.35">
      <c r="A489" s="46"/>
      <c r="B489" s="36"/>
      <c r="C489" s="35"/>
      <c r="D489" s="24"/>
      <c r="E489" s="35"/>
      <c r="F489" s="35"/>
      <c r="G489" s="36"/>
      <c r="H489" s="36"/>
      <c r="I489" s="36"/>
      <c r="J489" s="36"/>
      <c r="K489" s="36"/>
      <c r="L489" s="36"/>
      <c r="M489" s="36"/>
      <c r="N489" s="35"/>
      <c r="O489" s="35"/>
      <c r="P489" s="35"/>
      <c r="Q489" s="36"/>
      <c r="R489" s="36"/>
      <c r="S489" s="36"/>
      <c r="T489" s="46"/>
      <c r="U489" s="36"/>
      <c r="V489" s="35"/>
      <c r="W489" s="38" t="str">
        <f t="shared" si="7"/>
        <v/>
      </c>
    </row>
    <row r="490" spans="1:23" x14ac:dyDescent="0.35">
      <c r="A490" s="46"/>
      <c r="B490" s="36"/>
      <c r="C490" s="35"/>
      <c r="D490" s="24"/>
      <c r="E490" s="35"/>
      <c r="F490" s="35"/>
      <c r="G490" s="36"/>
      <c r="H490" s="36"/>
      <c r="I490" s="36"/>
      <c r="J490" s="36"/>
      <c r="K490" s="36"/>
      <c r="L490" s="36"/>
      <c r="M490" s="36"/>
      <c r="N490" s="35"/>
      <c r="O490" s="35"/>
      <c r="P490" s="35"/>
      <c r="Q490" s="36"/>
      <c r="R490" s="36"/>
      <c r="S490" s="36"/>
      <c r="T490" s="46"/>
      <c r="U490" s="36"/>
      <c r="V490" s="35"/>
      <c r="W490" s="38" t="str">
        <f t="shared" si="7"/>
        <v/>
      </c>
    </row>
    <row r="491" spans="1:23" x14ac:dyDescent="0.35">
      <c r="A491" s="46"/>
      <c r="B491" s="36"/>
      <c r="C491" s="35"/>
      <c r="D491" s="24"/>
      <c r="E491" s="35"/>
      <c r="F491" s="35"/>
      <c r="G491" s="36"/>
      <c r="H491" s="36"/>
      <c r="I491" s="36"/>
      <c r="J491" s="36"/>
      <c r="K491" s="36"/>
      <c r="L491" s="36"/>
      <c r="M491" s="36"/>
      <c r="N491" s="35"/>
      <c r="O491" s="35"/>
      <c r="P491" s="35"/>
      <c r="Q491" s="36"/>
      <c r="R491" s="36"/>
      <c r="S491" s="36"/>
      <c r="T491" s="46"/>
      <c r="U491" s="36"/>
      <c r="V491" s="35"/>
      <c r="W491" s="38" t="str">
        <f t="shared" si="7"/>
        <v/>
      </c>
    </row>
    <row r="492" spans="1:23" x14ac:dyDescent="0.35">
      <c r="A492" s="46"/>
      <c r="B492" s="36"/>
      <c r="C492" s="35"/>
      <c r="D492" s="24"/>
      <c r="E492" s="35"/>
      <c r="F492" s="35"/>
      <c r="G492" s="36"/>
      <c r="H492" s="36"/>
      <c r="I492" s="36"/>
      <c r="J492" s="36"/>
      <c r="K492" s="36"/>
      <c r="L492" s="36"/>
      <c r="M492" s="36"/>
      <c r="N492" s="35"/>
      <c r="O492" s="35"/>
      <c r="P492" s="35"/>
      <c r="Q492" s="36"/>
      <c r="R492" s="36"/>
      <c r="S492" s="36"/>
      <c r="T492" s="46"/>
      <c r="U492" s="36"/>
      <c r="V492" s="35"/>
      <c r="W492" s="38" t="str">
        <f t="shared" si="7"/>
        <v/>
      </c>
    </row>
    <row r="493" spans="1:23" x14ac:dyDescent="0.35">
      <c r="A493" s="46"/>
      <c r="B493" s="36"/>
      <c r="C493" s="35"/>
      <c r="D493" s="24"/>
      <c r="E493" s="35"/>
      <c r="F493" s="35"/>
      <c r="G493" s="36"/>
      <c r="H493" s="36"/>
      <c r="I493" s="36"/>
      <c r="J493" s="36"/>
      <c r="K493" s="36"/>
      <c r="L493" s="36"/>
      <c r="M493" s="36"/>
      <c r="N493" s="35"/>
      <c r="O493" s="35"/>
      <c r="P493" s="35"/>
      <c r="Q493" s="36"/>
      <c r="R493" s="36"/>
      <c r="S493" s="36"/>
      <c r="T493" s="46"/>
      <c r="U493" s="36"/>
      <c r="V493" s="35"/>
      <c r="W493" s="38" t="str">
        <f t="shared" si="7"/>
        <v/>
      </c>
    </row>
    <row r="494" spans="1:23" x14ac:dyDescent="0.35">
      <c r="A494" s="46"/>
      <c r="B494" s="36"/>
      <c r="C494" s="35"/>
      <c r="D494" s="24"/>
      <c r="E494" s="35"/>
      <c r="F494" s="35"/>
      <c r="G494" s="36"/>
      <c r="H494" s="36"/>
      <c r="I494" s="36"/>
      <c r="J494" s="36"/>
      <c r="K494" s="36"/>
      <c r="L494" s="36"/>
      <c r="M494" s="36"/>
      <c r="N494" s="35"/>
      <c r="O494" s="35"/>
      <c r="P494" s="35"/>
      <c r="Q494" s="36"/>
      <c r="R494" s="36"/>
      <c r="S494" s="36"/>
      <c r="T494" s="46"/>
      <c r="U494" s="36"/>
      <c r="V494" s="35"/>
      <c r="W494" s="38" t="str">
        <f t="shared" si="7"/>
        <v/>
      </c>
    </row>
    <row r="495" spans="1:23" x14ac:dyDescent="0.35">
      <c r="A495" s="46"/>
      <c r="B495" s="36"/>
      <c r="C495" s="35"/>
      <c r="D495" s="24"/>
      <c r="E495" s="35"/>
      <c r="F495" s="35"/>
      <c r="G495" s="36"/>
      <c r="H495" s="36"/>
      <c r="I495" s="36"/>
      <c r="J495" s="36"/>
      <c r="K495" s="36"/>
      <c r="L495" s="36"/>
      <c r="M495" s="36"/>
      <c r="N495" s="35"/>
      <c r="O495" s="35"/>
      <c r="P495" s="35"/>
      <c r="Q495" s="36"/>
      <c r="R495" s="36"/>
      <c r="S495" s="36"/>
      <c r="T495" s="46"/>
      <c r="U495" s="36"/>
      <c r="V495" s="35"/>
      <c r="W495" s="38" t="str">
        <f t="shared" si="7"/>
        <v/>
      </c>
    </row>
    <row r="496" spans="1:23" x14ac:dyDescent="0.35">
      <c r="A496" s="46"/>
      <c r="B496" s="36"/>
      <c r="C496" s="35"/>
      <c r="D496" s="24"/>
      <c r="E496" s="35"/>
      <c r="F496" s="35"/>
      <c r="G496" s="36"/>
      <c r="H496" s="36"/>
      <c r="I496" s="36"/>
      <c r="J496" s="36"/>
      <c r="K496" s="36"/>
      <c r="L496" s="36"/>
      <c r="M496" s="36"/>
      <c r="N496" s="35"/>
      <c r="O496" s="35"/>
      <c r="P496" s="35"/>
      <c r="Q496" s="36"/>
      <c r="R496" s="36"/>
      <c r="S496" s="36"/>
      <c r="T496" s="46"/>
      <c r="U496" s="36"/>
      <c r="V496" s="35"/>
      <c r="W496" s="38" t="str">
        <f t="shared" si="7"/>
        <v/>
      </c>
    </row>
    <row r="497" spans="1:23" x14ac:dyDescent="0.35">
      <c r="A497" s="46"/>
      <c r="B497" s="36"/>
      <c r="C497" s="35"/>
      <c r="D497" s="24"/>
      <c r="E497" s="35"/>
      <c r="F497" s="35"/>
      <c r="G497" s="36"/>
      <c r="H497" s="36"/>
      <c r="I497" s="36"/>
      <c r="J497" s="36"/>
      <c r="K497" s="36"/>
      <c r="L497" s="36"/>
      <c r="M497" s="36"/>
      <c r="N497" s="35"/>
      <c r="O497" s="35"/>
      <c r="P497" s="35"/>
      <c r="Q497" s="36"/>
      <c r="R497" s="36"/>
      <c r="S497" s="36"/>
      <c r="T497" s="46"/>
      <c r="U497" s="36"/>
      <c r="V497" s="35"/>
      <c r="W497" s="38" t="str">
        <f t="shared" si="7"/>
        <v/>
      </c>
    </row>
    <row r="498" spans="1:23" x14ac:dyDescent="0.35">
      <c r="A498" s="46"/>
      <c r="B498" s="36"/>
      <c r="C498" s="35"/>
      <c r="D498" s="24"/>
      <c r="E498" s="35"/>
      <c r="F498" s="35"/>
      <c r="G498" s="36"/>
      <c r="H498" s="36"/>
      <c r="I498" s="36"/>
      <c r="J498" s="36"/>
      <c r="K498" s="36"/>
      <c r="L498" s="36"/>
      <c r="M498" s="36"/>
      <c r="N498" s="35"/>
      <c r="O498" s="35"/>
      <c r="P498" s="35"/>
      <c r="Q498" s="36"/>
      <c r="R498" s="36"/>
      <c r="S498" s="36"/>
      <c r="T498" s="46"/>
      <c r="U498" s="36"/>
      <c r="V498" s="35"/>
      <c r="W498" s="38" t="str">
        <f t="shared" si="7"/>
        <v/>
      </c>
    </row>
    <row r="499" spans="1:23" x14ac:dyDescent="0.35">
      <c r="A499" s="46"/>
      <c r="B499" s="36"/>
      <c r="C499" s="35"/>
      <c r="D499" s="24"/>
      <c r="E499" s="35"/>
      <c r="F499" s="35"/>
      <c r="G499" s="36"/>
      <c r="H499" s="36"/>
      <c r="I499" s="36"/>
      <c r="J499" s="36"/>
      <c r="K499" s="36"/>
      <c r="L499" s="36"/>
      <c r="M499" s="36"/>
      <c r="N499" s="35"/>
      <c r="O499" s="35"/>
      <c r="P499" s="35"/>
      <c r="Q499" s="36"/>
      <c r="R499" s="36"/>
      <c r="S499" s="36"/>
      <c r="T499" s="46"/>
      <c r="U499" s="36"/>
      <c r="V499" s="35"/>
      <c r="W499" s="38" t="str">
        <f t="shared" si="7"/>
        <v/>
      </c>
    </row>
    <row r="500" spans="1:23" x14ac:dyDescent="0.35">
      <c r="A500" s="46"/>
      <c r="B500" s="36"/>
      <c r="C500" s="35"/>
      <c r="D500" s="24"/>
      <c r="E500" s="35"/>
      <c r="F500" s="35"/>
      <c r="G500" s="36"/>
      <c r="H500" s="36"/>
      <c r="I500" s="36"/>
      <c r="J500" s="36"/>
      <c r="K500" s="36"/>
      <c r="L500" s="36"/>
      <c r="M500" s="36"/>
      <c r="N500" s="35"/>
      <c r="O500" s="35"/>
      <c r="P500" s="35"/>
      <c r="Q500" s="36"/>
      <c r="R500" s="36"/>
      <c r="S500" s="36"/>
      <c r="T500" s="46"/>
      <c r="U500" s="36"/>
      <c r="V500" s="35"/>
      <c r="W500" s="38" t="str">
        <f t="shared" si="7"/>
        <v/>
      </c>
    </row>
    <row r="501" spans="1:23" x14ac:dyDescent="0.35">
      <c r="A501" s="46"/>
      <c r="B501" s="36"/>
      <c r="C501" s="35"/>
      <c r="D501" s="24"/>
      <c r="E501" s="35"/>
      <c r="F501" s="35"/>
      <c r="G501" s="36"/>
      <c r="H501" s="36"/>
      <c r="I501" s="36"/>
      <c r="J501" s="36"/>
      <c r="K501" s="36"/>
      <c r="L501" s="36"/>
      <c r="M501" s="36"/>
      <c r="N501" s="35"/>
      <c r="O501" s="35"/>
      <c r="P501" s="35"/>
      <c r="Q501" s="36"/>
      <c r="R501" s="36"/>
      <c r="S501" s="36"/>
      <c r="T501" s="46"/>
      <c r="U501" s="36"/>
      <c r="V501" s="35"/>
      <c r="W501" s="38" t="str">
        <f t="shared" si="7"/>
        <v/>
      </c>
    </row>
    <row r="502" spans="1:23" x14ac:dyDescent="0.35">
      <c r="A502" s="46"/>
      <c r="B502" s="36"/>
      <c r="C502" s="35"/>
      <c r="D502" s="24"/>
      <c r="E502" s="35"/>
      <c r="F502" s="35"/>
      <c r="G502" s="36"/>
      <c r="H502" s="36"/>
      <c r="I502" s="36"/>
      <c r="J502" s="36"/>
      <c r="K502" s="36"/>
      <c r="L502" s="36"/>
      <c r="M502" s="36"/>
      <c r="N502" s="35"/>
      <c r="O502" s="35"/>
      <c r="P502" s="35"/>
      <c r="Q502" s="36"/>
      <c r="R502" s="36"/>
      <c r="S502" s="36"/>
      <c r="T502" s="46"/>
      <c r="U502" s="36"/>
      <c r="V502" s="35"/>
      <c r="W502" s="38" t="str">
        <f t="shared" si="7"/>
        <v/>
      </c>
    </row>
    <row r="503" spans="1:23" x14ac:dyDescent="0.35">
      <c r="A503" s="46"/>
      <c r="B503" s="36"/>
      <c r="C503" s="35"/>
      <c r="D503" s="24"/>
      <c r="E503" s="35"/>
      <c r="F503" s="35"/>
      <c r="G503" s="36"/>
      <c r="H503" s="36"/>
      <c r="I503" s="36"/>
      <c r="J503" s="36"/>
      <c r="K503" s="36"/>
      <c r="L503" s="36"/>
      <c r="M503" s="36"/>
      <c r="N503" s="35"/>
      <c r="O503" s="35"/>
      <c r="P503" s="35"/>
      <c r="Q503" s="36"/>
      <c r="R503" s="36"/>
      <c r="S503" s="36"/>
      <c r="T503" s="46"/>
      <c r="U503" s="36"/>
      <c r="V503" s="35"/>
      <c r="W503" s="38" t="str">
        <f t="shared" si="7"/>
        <v/>
      </c>
    </row>
    <row r="504" spans="1:23" x14ac:dyDescent="0.35">
      <c r="A504" s="46"/>
      <c r="B504" s="36"/>
      <c r="C504" s="35"/>
      <c r="D504" s="24"/>
      <c r="E504" s="35"/>
      <c r="F504" s="35"/>
      <c r="G504" s="36"/>
      <c r="H504" s="36"/>
      <c r="I504" s="36"/>
      <c r="J504" s="36"/>
      <c r="K504" s="36"/>
      <c r="L504" s="36"/>
      <c r="M504" s="36"/>
      <c r="N504" s="35"/>
      <c r="O504" s="35"/>
      <c r="P504" s="35"/>
      <c r="Q504" s="36"/>
      <c r="R504" s="36"/>
      <c r="S504" s="36"/>
      <c r="T504" s="46"/>
      <c r="U504" s="36"/>
      <c r="V504" s="35"/>
      <c r="W504" s="38" t="str">
        <f t="shared" si="7"/>
        <v/>
      </c>
    </row>
    <row r="505" spans="1:23" x14ac:dyDescent="0.35">
      <c r="A505" s="46"/>
      <c r="B505" s="36"/>
      <c r="C505" s="35"/>
      <c r="D505" s="24"/>
      <c r="E505" s="35"/>
      <c r="F505" s="35"/>
      <c r="G505" s="36"/>
      <c r="H505" s="36"/>
      <c r="I505" s="36"/>
      <c r="J505" s="36"/>
      <c r="K505" s="36"/>
      <c r="L505" s="36"/>
      <c r="M505" s="36"/>
      <c r="N505" s="35"/>
      <c r="O505" s="35"/>
      <c r="P505" s="35"/>
      <c r="Q505" s="36"/>
      <c r="R505" s="36"/>
      <c r="S505" s="36"/>
      <c r="T505" s="46"/>
      <c r="U505" s="36"/>
      <c r="V505" s="35"/>
      <c r="W505" s="38" t="str">
        <f t="shared" si="7"/>
        <v/>
      </c>
    </row>
    <row r="506" spans="1:23" x14ac:dyDescent="0.35">
      <c r="A506" s="46"/>
      <c r="B506" s="36"/>
      <c r="C506" s="35"/>
      <c r="D506" s="24"/>
      <c r="E506" s="35"/>
      <c r="F506" s="35"/>
      <c r="G506" s="36"/>
      <c r="H506" s="36"/>
      <c r="I506" s="36"/>
      <c r="J506" s="36"/>
      <c r="K506" s="36"/>
      <c r="L506" s="36"/>
      <c r="M506" s="36"/>
      <c r="N506" s="35"/>
      <c r="O506" s="35"/>
      <c r="P506" s="35"/>
      <c r="Q506" s="36"/>
      <c r="R506" s="36"/>
      <c r="S506" s="36"/>
      <c r="T506" s="46"/>
      <c r="U506" s="36"/>
      <c r="V506" s="35"/>
      <c r="W506" s="38" t="str">
        <f t="shared" si="7"/>
        <v/>
      </c>
    </row>
    <row r="507" spans="1:23" x14ac:dyDescent="0.35">
      <c r="A507" s="46"/>
      <c r="B507" s="36"/>
      <c r="C507" s="35"/>
      <c r="D507" s="24"/>
      <c r="E507" s="35"/>
      <c r="F507" s="35"/>
      <c r="G507" s="36"/>
      <c r="H507" s="36"/>
      <c r="I507" s="36"/>
      <c r="J507" s="36"/>
      <c r="K507" s="36"/>
      <c r="L507" s="36"/>
      <c r="M507" s="36"/>
      <c r="N507" s="35"/>
      <c r="O507" s="35"/>
      <c r="P507" s="35"/>
      <c r="Q507" s="36"/>
      <c r="R507" s="36"/>
      <c r="S507" s="36"/>
      <c r="T507" s="46"/>
      <c r="U507" s="36"/>
      <c r="V507" s="35"/>
      <c r="W507" s="38" t="str">
        <f t="shared" si="7"/>
        <v/>
      </c>
    </row>
    <row r="508" spans="1:23" x14ac:dyDescent="0.35">
      <c r="A508" s="46"/>
      <c r="B508" s="36"/>
      <c r="C508" s="35"/>
      <c r="D508" s="24"/>
      <c r="E508" s="35"/>
      <c r="F508" s="35"/>
      <c r="G508" s="36"/>
      <c r="H508" s="36"/>
      <c r="I508" s="36"/>
      <c r="J508" s="36"/>
      <c r="K508" s="36"/>
      <c r="L508" s="36"/>
      <c r="M508" s="36"/>
      <c r="N508" s="35"/>
      <c r="O508" s="35"/>
      <c r="P508" s="35"/>
      <c r="Q508" s="36"/>
      <c r="R508" s="36"/>
      <c r="S508" s="36"/>
      <c r="T508" s="46"/>
      <c r="U508" s="36"/>
      <c r="V508" s="35"/>
      <c r="W508" s="38" t="str">
        <f t="shared" si="7"/>
        <v/>
      </c>
    </row>
    <row r="509" spans="1:23" x14ac:dyDescent="0.35">
      <c r="A509" s="46"/>
      <c r="B509" s="36"/>
      <c r="C509" s="35"/>
      <c r="D509" s="24"/>
      <c r="E509" s="35"/>
      <c r="F509" s="35"/>
      <c r="G509" s="36"/>
      <c r="H509" s="36"/>
      <c r="I509" s="36"/>
      <c r="J509" s="36"/>
      <c r="K509" s="36"/>
      <c r="L509" s="36"/>
      <c r="M509" s="36"/>
      <c r="N509" s="35"/>
      <c r="O509" s="35"/>
      <c r="P509" s="35"/>
      <c r="Q509" s="36"/>
      <c r="R509" s="36"/>
      <c r="S509" s="36"/>
      <c r="T509" s="46"/>
      <c r="U509" s="36"/>
      <c r="V509" s="35"/>
      <c r="W509" s="38" t="str">
        <f t="shared" si="7"/>
        <v/>
      </c>
    </row>
    <row r="510" spans="1:23" x14ac:dyDescent="0.35">
      <c r="A510" s="46"/>
      <c r="B510" s="36"/>
      <c r="C510" s="35"/>
      <c r="D510" s="24"/>
      <c r="E510" s="35"/>
      <c r="F510" s="35"/>
      <c r="G510" s="36"/>
      <c r="H510" s="36"/>
      <c r="I510" s="36"/>
      <c r="J510" s="36"/>
      <c r="K510" s="36"/>
      <c r="L510" s="36"/>
      <c r="M510" s="36"/>
      <c r="N510" s="35"/>
      <c r="O510" s="35"/>
      <c r="P510" s="35"/>
      <c r="Q510" s="36"/>
      <c r="R510" s="36"/>
      <c r="S510" s="36"/>
      <c r="T510" s="46"/>
      <c r="U510" s="36"/>
      <c r="V510" s="35"/>
      <c r="W510" s="38" t="str">
        <f t="shared" si="7"/>
        <v/>
      </c>
    </row>
    <row r="511" spans="1:23" x14ac:dyDescent="0.35">
      <c r="A511" s="46"/>
      <c r="B511" s="36"/>
      <c r="C511" s="35"/>
      <c r="D511" s="24"/>
      <c r="E511" s="35"/>
      <c r="F511" s="35"/>
      <c r="G511" s="36"/>
      <c r="H511" s="36"/>
      <c r="I511" s="36"/>
      <c r="J511" s="36"/>
      <c r="K511" s="36"/>
      <c r="L511" s="36"/>
      <c r="M511" s="36"/>
      <c r="N511" s="35"/>
      <c r="O511" s="35"/>
      <c r="P511" s="35"/>
      <c r="Q511" s="36"/>
      <c r="R511" s="36"/>
      <c r="S511" s="36"/>
      <c r="T511" s="46"/>
      <c r="U511" s="36"/>
      <c r="V511" s="35"/>
      <c r="W511" s="38" t="str">
        <f t="shared" si="7"/>
        <v/>
      </c>
    </row>
    <row r="512" spans="1:23" x14ac:dyDescent="0.35">
      <c r="A512" s="46"/>
      <c r="B512" s="36"/>
      <c r="C512" s="35"/>
      <c r="D512" s="24"/>
      <c r="E512" s="35"/>
      <c r="F512" s="35"/>
      <c r="G512" s="36"/>
      <c r="H512" s="36"/>
      <c r="I512" s="36"/>
      <c r="J512" s="36"/>
      <c r="K512" s="36"/>
      <c r="L512" s="36"/>
      <c r="M512" s="36"/>
      <c r="N512" s="35"/>
      <c r="O512" s="35"/>
      <c r="P512" s="35"/>
      <c r="Q512" s="36"/>
      <c r="R512" s="36"/>
      <c r="S512" s="36"/>
      <c r="T512" s="46"/>
      <c r="U512" s="36"/>
      <c r="V512" s="35"/>
      <c r="W512" s="38" t="str">
        <f t="shared" si="7"/>
        <v/>
      </c>
    </row>
    <row r="513" spans="1:23" x14ac:dyDescent="0.35">
      <c r="A513" s="46"/>
      <c r="B513" s="36"/>
      <c r="C513" s="35"/>
      <c r="D513" s="24"/>
      <c r="E513" s="35"/>
      <c r="F513" s="35"/>
      <c r="G513" s="36"/>
      <c r="H513" s="36"/>
      <c r="I513" s="36"/>
      <c r="J513" s="36"/>
      <c r="K513" s="36"/>
      <c r="L513" s="36"/>
      <c r="M513" s="36"/>
      <c r="N513" s="35"/>
      <c r="O513" s="35"/>
      <c r="P513" s="35"/>
      <c r="Q513" s="36"/>
      <c r="R513" s="36"/>
      <c r="S513" s="36"/>
      <c r="T513" s="46"/>
      <c r="U513" s="36"/>
      <c r="V513" s="35"/>
      <c r="W513" s="38" t="str">
        <f t="shared" si="7"/>
        <v/>
      </c>
    </row>
    <row r="514" spans="1:23" x14ac:dyDescent="0.35">
      <c r="A514" s="46"/>
      <c r="B514" s="36"/>
      <c r="C514" s="35"/>
      <c r="D514" s="24"/>
      <c r="E514" s="35"/>
      <c r="F514" s="35"/>
      <c r="G514" s="36"/>
      <c r="H514" s="36"/>
      <c r="I514" s="36"/>
      <c r="J514" s="36"/>
      <c r="K514" s="36"/>
      <c r="L514" s="36"/>
      <c r="M514" s="36"/>
      <c r="N514" s="35"/>
      <c r="O514" s="35"/>
      <c r="P514" s="35"/>
      <c r="Q514" s="36"/>
      <c r="R514" s="36"/>
      <c r="S514" s="36"/>
      <c r="T514" s="46"/>
      <c r="U514" s="36"/>
      <c r="V514" s="35"/>
      <c r="W514" s="38" t="str">
        <f t="shared" si="7"/>
        <v/>
      </c>
    </row>
    <row r="515" spans="1:23" x14ac:dyDescent="0.35">
      <c r="A515" s="46"/>
      <c r="B515" s="36"/>
      <c r="C515" s="35"/>
      <c r="D515" s="24"/>
      <c r="E515" s="35"/>
      <c r="F515" s="35"/>
      <c r="G515" s="36"/>
      <c r="H515" s="36"/>
      <c r="I515" s="36"/>
      <c r="J515" s="36"/>
      <c r="K515" s="36"/>
      <c r="L515" s="36"/>
      <c r="M515" s="36"/>
      <c r="N515" s="35"/>
      <c r="O515" s="35"/>
      <c r="P515" s="35"/>
      <c r="Q515" s="36"/>
      <c r="R515" s="36"/>
      <c r="S515" s="36"/>
      <c r="T515" s="46"/>
      <c r="U515" s="36"/>
      <c r="V515" s="35"/>
      <c r="W515" s="38" t="str">
        <f t="shared" si="7"/>
        <v/>
      </c>
    </row>
    <row r="516" spans="1:23" x14ac:dyDescent="0.35">
      <c r="A516" s="46"/>
      <c r="B516" s="36"/>
      <c r="C516" s="35"/>
      <c r="D516" s="24"/>
      <c r="E516" s="35"/>
      <c r="F516" s="35"/>
      <c r="G516" s="36"/>
      <c r="H516" s="36"/>
      <c r="I516" s="36"/>
      <c r="J516" s="36"/>
      <c r="K516" s="36"/>
      <c r="L516" s="36"/>
      <c r="M516" s="36"/>
      <c r="N516" s="35"/>
      <c r="O516" s="35"/>
      <c r="P516" s="35"/>
      <c r="Q516" s="36"/>
      <c r="R516" s="36"/>
      <c r="S516" s="36"/>
      <c r="T516" s="46"/>
      <c r="U516" s="36"/>
      <c r="V516" s="35"/>
      <c r="W516" s="38" t="str">
        <f t="shared" si="7"/>
        <v/>
      </c>
    </row>
    <row r="517" spans="1:23" x14ac:dyDescent="0.35">
      <c r="A517" s="46"/>
      <c r="B517" s="36"/>
      <c r="C517" s="35"/>
      <c r="D517" s="24"/>
      <c r="E517" s="35"/>
      <c r="F517" s="35"/>
      <c r="G517" s="36"/>
      <c r="H517" s="36"/>
      <c r="I517" s="36"/>
      <c r="J517" s="36"/>
      <c r="K517" s="36"/>
      <c r="L517" s="36"/>
      <c r="M517" s="36"/>
      <c r="N517" s="35"/>
      <c r="O517" s="35"/>
      <c r="P517" s="35"/>
      <c r="Q517" s="36"/>
      <c r="R517" s="36"/>
      <c r="S517" s="36"/>
      <c r="T517" s="46"/>
      <c r="U517" s="36"/>
      <c r="V517" s="35"/>
      <c r="W517" s="38" t="str">
        <f t="shared" si="7"/>
        <v/>
      </c>
    </row>
    <row r="518" spans="1:23" x14ac:dyDescent="0.35">
      <c r="A518" s="46"/>
      <c r="B518" s="36"/>
      <c r="C518" s="35"/>
      <c r="D518" s="24"/>
      <c r="E518" s="35"/>
      <c r="F518" s="35"/>
      <c r="G518" s="36"/>
      <c r="H518" s="36"/>
      <c r="I518" s="36"/>
      <c r="J518" s="36"/>
      <c r="K518" s="36"/>
      <c r="L518" s="36"/>
      <c r="M518" s="36"/>
      <c r="N518" s="35"/>
      <c r="O518" s="35"/>
      <c r="P518" s="35"/>
      <c r="Q518" s="36"/>
      <c r="R518" s="36"/>
      <c r="S518" s="36"/>
      <c r="T518" s="46"/>
      <c r="U518" s="36"/>
      <c r="V518" s="35"/>
      <c r="W518" s="38" t="str">
        <f t="shared" ref="W518:W581" si="8">IF(OR(A518="",C518=""),"",INT(A518)&amp;"|"&amp;C518)</f>
        <v/>
      </c>
    </row>
    <row r="519" spans="1:23" x14ac:dyDescent="0.35">
      <c r="A519" s="46"/>
      <c r="B519" s="36"/>
      <c r="C519" s="35"/>
      <c r="D519" s="24"/>
      <c r="E519" s="35"/>
      <c r="F519" s="35"/>
      <c r="G519" s="36"/>
      <c r="H519" s="36"/>
      <c r="I519" s="36"/>
      <c r="J519" s="36"/>
      <c r="K519" s="36"/>
      <c r="L519" s="36"/>
      <c r="M519" s="36"/>
      <c r="N519" s="35"/>
      <c r="O519" s="35"/>
      <c r="P519" s="35"/>
      <c r="Q519" s="36"/>
      <c r="R519" s="36"/>
      <c r="S519" s="36"/>
      <c r="T519" s="46"/>
      <c r="U519" s="36"/>
      <c r="V519" s="35"/>
      <c r="W519" s="38" t="str">
        <f t="shared" si="8"/>
        <v/>
      </c>
    </row>
    <row r="520" spans="1:23" x14ac:dyDescent="0.35">
      <c r="A520" s="46"/>
      <c r="B520" s="36"/>
      <c r="C520" s="35"/>
      <c r="D520" s="24"/>
      <c r="E520" s="35"/>
      <c r="F520" s="35"/>
      <c r="G520" s="36"/>
      <c r="H520" s="36"/>
      <c r="I520" s="36"/>
      <c r="J520" s="36"/>
      <c r="K520" s="36"/>
      <c r="L520" s="36"/>
      <c r="M520" s="36"/>
      <c r="N520" s="35"/>
      <c r="O520" s="35"/>
      <c r="P520" s="35"/>
      <c r="Q520" s="36"/>
      <c r="R520" s="36"/>
      <c r="S520" s="36"/>
      <c r="T520" s="46"/>
      <c r="U520" s="36"/>
      <c r="V520" s="35"/>
      <c r="W520" s="38" t="str">
        <f t="shared" si="8"/>
        <v/>
      </c>
    </row>
    <row r="521" spans="1:23" x14ac:dyDescent="0.35">
      <c r="A521" s="46"/>
      <c r="B521" s="36"/>
      <c r="C521" s="35"/>
      <c r="D521" s="24"/>
      <c r="E521" s="35"/>
      <c r="F521" s="35"/>
      <c r="G521" s="36"/>
      <c r="H521" s="36"/>
      <c r="I521" s="36"/>
      <c r="J521" s="36"/>
      <c r="K521" s="36"/>
      <c r="L521" s="36"/>
      <c r="M521" s="36"/>
      <c r="N521" s="35"/>
      <c r="O521" s="35"/>
      <c r="P521" s="35"/>
      <c r="Q521" s="36"/>
      <c r="R521" s="36"/>
      <c r="S521" s="36"/>
      <c r="T521" s="46"/>
      <c r="U521" s="36"/>
      <c r="V521" s="35"/>
      <c r="W521" s="38" t="str">
        <f t="shared" si="8"/>
        <v/>
      </c>
    </row>
    <row r="522" spans="1:23" x14ac:dyDescent="0.35">
      <c r="A522" s="46"/>
      <c r="B522" s="36"/>
      <c r="C522" s="35"/>
      <c r="D522" s="24"/>
      <c r="E522" s="35"/>
      <c r="F522" s="35"/>
      <c r="G522" s="36"/>
      <c r="H522" s="36"/>
      <c r="I522" s="36"/>
      <c r="J522" s="36"/>
      <c r="K522" s="36"/>
      <c r="L522" s="36"/>
      <c r="M522" s="36"/>
      <c r="N522" s="35"/>
      <c r="O522" s="35"/>
      <c r="P522" s="35"/>
      <c r="Q522" s="36"/>
      <c r="R522" s="36"/>
      <c r="S522" s="36"/>
      <c r="T522" s="46"/>
      <c r="U522" s="36"/>
      <c r="V522" s="35"/>
      <c r="W522" s="38" t="str">
        <f t="shared" si="8"/>
        <v/>
      </c>
    </row>
    <row r="523" spans="1:23" x14ac:dyDescent="0.35">
      <c r="A523" s="46"/>
      <c r="B523" s="36"/>
      <c r="C523" s="35"/>
      <c r="D523" s="24"/>
      <c r="E523" s="35"/>
      <c r="F523" s="35"/>
      <c r="G523" s="36"/>
      <c r="H523" s="36"/>
      <c r="I523" s="36"/>
      <c r="J523" s="36"/>
      <c r="K523" s="36"/>
      <c r="L523" s="36"/>
      <c r="M523" s="36"/>
      <c r="N523" s="35"/>
      <c r="O523" s="35"/>
      <c r="P523" s="35"/>
      <c r="Q523" s="36"/>
      <c r="R523" s="36"/>
      <c r="S523" s="36"/>
      <c r="T523" s="46"/>
      <c r="U523" s="36"/>
      <c r="V523" s="35"/>
      <c r="W523" s="38" t="str">
        <f t="shared" si="8"/>
        <v/>
      </c>
    </row>
    <row r="524" spans="1:23" x14ac:dyDescent="0.35">
      <c r="A524" s="46"/>
      <c r="B524" s="36"/>
      <c r="C524" s="35"/>
      <c r="D524" s="24"/>
      <c r="E524" s="35"/>
      <c r="F524" s="35"/>
      <c r="G524" s="36"/>
      <c r="H524" s="36"/>
      <c r="I524" s="36"/>
      <c r="J524" s="36"/>
      <c r="K524" s="36"/>
      <c r="L524" s="36"/>
      <c r="M524" s="36"/>
      <c r="N524" s="35"/>
      <c r="O524" s="35"/>
      <c r="P524" s="35"/>
      <c r="Q524" s="36"/>
      <c r="R524" s="36"/>
      <c r="S524" s="36"/>
      <c r="T524" s="46"/>
      <c r="U524" s="36"/>
      <c r="V524" s="35"/>
      <c r="W524" s="38" t="str">
        <f t="shared" si="8"/>
        <v/>
      </c>
    </row>
    <row r="525" spans="1:23" x14ac:dyDescent="0.35">
      <c r="A525" s="46"/>
      <c r="B525" s="36"/>
      <c r="C525" s="35"/>
      <c r="D525" s="24"/>
      <c r="E525" s="35"/>
      <c r="F525" s="35"/>
      <c r="G525" s="36"/>
      <c r="H525" s="36"/>
      <c r="I525" s="36"/>
      <c r="J525" s="36"/>
      <c r="K525" s="36"/>
      <c r="L525" s="36"/>
      <c r="M525" s="36"/>
      <c r="N525" s="35"/>
      <c r="O525" s="35"/>
      <c r="P525" s="35"/>
      <c r="Q525" s="36"/>
      <c r="R525" s="36"/>
      <c r="S525" s="36"/>
      <c r="T525" s="46"/>
      <c r="U525" s="36"/>
      <c r="V525" s="35"/>
      <c r="W525" s="38" t="str">
        <f t="shared" si="8"/>
        <v/>
      </c>
    </row>
    <row r="526" spans="1:23" x14ac:dyDescent="0.35">
      <c r="A526" s="46"/>
      <c r="B526" s="36"/>
      <c r="C526" s="35"/>
      <c r="D526" s="24"/>
      <c r="E526" s="35"/>
      <c r="F526" s="35"/>
      <c r="G526" s="36"/>
      <c r="H526" s="36"/>
      <c r="I526" s="36"/>
      <c r="J526" s="36"/>
      <c r="K526" s="36"/>
      <c r="L526" s="36"/>
      <c r="M526" s="36"/>
      <c r="N526" s="35"/>
      <c r="O526" s="35"/>
      <c r="P526" s="35"/>
      <c r="Q526" s="36"/>
      <c r="R526" s="36"/>
      <c r="S526" s="36"/>
      <c r="T526" s="46"/>
      <c r="U526" s="36"/>
      <c r="V526" s="35"/>
      <c r="W526" s="38" t="str">
        <f t="shared" si="8"/>
        <v/>
      </c>
    </row>
    <row r="527" spans="1:23" x14ac:dyDescent="0.35">
      <c r="A527" s="46"/>
      <c r="B527" s="36"/>
      <c r="C527" s="35"/>
      <c r="D527" s="24"/>
      <c r="E527" s="35"/>
      <c r="F527" s="35"/>
      <c r="G527" s="36"/>
      <c r="H527" s="36"/>
      <c r="I527" s="36"/>
      <c r="J527" s="36"/>
      <c r="K527" s="36"/>
      <c r="L527" s="36"/>
      <c r="M527" s="36"/>
      <c r="N527" s="35"/>
      <c r="O527" s="35"/>
      <c r="P527" s="35"/>
      <c r="Q527" s="36"/>
      <c r="R527" s="36"/>
      <c r="S527" s="36"/>
      <c r="T527" s="46"/>
      <c r="U527" s="36"/>
      <c r="V527" s="35"/>
      <c r="W527" s="38" t="str">
        <f t="shared" si="8"/>
        <v/>
      </c>
    </row>
    <row r="528" spans="1:23" x14ac:dyDescent="0.35">
      <c r="A528" s="46"/>
      <c r="B528" s="36"/>
      <c r="C528" s="35"/>
      <c r="D528" s="24"/>
      <c r="E528" s="35"/>
      <c r="F528" s="35"/>
      <c r="G528" s="36"/>
      <c r="H528" s="36"/>
      <c r="I528" s="36"/>
      <c r="J528" s="36"/>
      <c r="K528" s="36"/>
      <c r="L528" s="36"/>
      <c r="M528" s="36"/>
      <c r="N528" s="35"/>
      <c r="O528" s="35"/>
      <c r="P528" s="35"/>
      <c r="Q528" s="36"/>
      <c r="R528" s="36"/>
      <c r="S528" s="36"/>
      <c r="T528" s="46"/>
      <c r="U528" s="36"/>
      <c r="V528" s="35"/>
      <c r="W528" s="38" t="str">
        <f t="shared" si="8"/>
        <v/>
      </c>
    </row>
    <row r="529" spans="1:23" x14ac:dyDescent="0.35">
      <c r="A529" s="46"/>
      <c r="B529" s="36"/>
      <c r="C529" s="35"/>
      <c r="D529" s="24"/>
      <c r="E529" s="35"/>
      <c r="F529" s="35"/>
      <c r="G529" s="36"/>
      <c r="H529" s="36"/>
      <c r="I529" s="36"/>
      <c r="J529" s="36"/>
      <c r="K529" s="36"/>
      <c r="L529" s="36"/>
      <c r="M529" s="36"/>
      <c r="N529" s="35"/>
      <c r="O529" s="35"/>
      <c r="P529" s="35"/>
      <c r="Q529" s="36"/>
      <c r="R529" s="36"/>
      <c r="S529" s="36"/>
      <c r="T529" s="46"/>
      <c r="U529" s="36"/>
      <c r="V529" s="35"/>
      <c r="W529" s="38" t="str">
        <f t="shared" si="8"/>
        <v/>
      </c>
    </row>
    <row r="530" spans="1:23" x14ac:dyDescent="0.35">
      <c r="A530" s="46"/>
      <c r="B530" s="36"/>
      <c r="C530" s="35"/>
      <c r="D530" s="24"/>
      <c r="E530" s="35"/>
      <c r="F530" s="35"/>
      <c r="G530" s="36"/>
      <c r="H530" s="36"/>
      <c r="I530" s="36"/>
      <c r="J530" s="36"/>
      <c r="K530" s="36"/>
      <c r="L530" s="36"/>
      <c r="M530" s="36"/>
      <c r="N530" s="35"/>
      <c r="O530" s="35"/>
      <c r="P530" s="35"/>
      <c r="Q530" s="36"/>
      <c r="R530" s="36"/>
      <c r="S530" s="36"/>
      <c r="T530" s="46"/>
      <c r="U530" s="36"/>
      <c r="V530" s="35"/>
      <c r="W530" s="38" t="str">
        <f t="shared" si="8"/>
        <v/>
      </c>
    </row>
    <row r="531" spans="1:23" x14ac:dyDescent="0.35">
      <c r="A531" s="46"/>
      <c r="B531" s="36"/>
      <c r="C531" s="35"/>
      <c r="D531" s="24"/>
      <c r="E531" s="35"/>
      <c r="F531" s="35"/>
      <c r="G531" s="36"/>
      <c r="H531" s="36"/>
      <c r="I531" s="36"/>
      <c r="J531" s="36"/>
      <c r="K531" s="36"/>
      <c r="L531" s="36"/>
      <c r="M531" s="36"/>
      <c r="N531" s="35"/>
      <c r="O531" s="35"/>
      <c r="P531" s="35"/>
      <c r="Q531" s="36"/>
      <c r="R531" s="36"/>
      <c r="S531" s="36"/>
      <c r="T531" s="46"/>
      <c r="U531" s="36"/>
      <c r="V531" s="35"/>
      <c r="W531" s="38" t="str">
        <f t="shared" si="8"/>
        <v/>
      </c>
    </row>
    <row r="532" spans="1:23" x14ac:dyDescent="0.35">
      <c r="A532" s="46"/>
      <c r="B532" s="36"/>
      <c r="C532" s="35"/>
      <c r="D532" s="24"/>
      <c r="E532" s="35"/>
      <c r="F532" s="35"/>
      <c r="G532" s="36"/>
      <c r="H532" s="36"/>
      <c r="I532" s="36"/>
      <c r="J532" s="36"/>
      <c r="K532" s="36"/>
      <c r="L532" s="36"/>
      <c r="M532" s="36"/>
      <c r="N532" s="35"/>
      <c r="O532" s="35"/>
      <c r="P532" s="35"/>
      <c r="Q532" s="36"/>
      <c r="R532" s="36"/>
      <c r="S532" s="36"/>
      <c r="T532" s="46"/>
      <c r="U532" s="36"/>
      <c r="V532" s="35"/>
      <c r="W532" s="38" t="str">
        <f t="shared" si="8"/>
        <v/>
      </c>
    </row>
    <row r="533" spans="1:23" x14ac:dyDescent="0.35">
      <c r="A533" s="46"/>
      <c r="B533" s="36"/>
      <c r="C533" s="35"/>
      <c r="D533" s="24"/>
      <c r="E533" s="35"/>
      <c r="F533" s="35"/>
      <c r="G533" s="36"/>
      <c r="H533" s="36"/>
      <c r="I533" s="36"/>
      <c r="J533" s="36"/>
      <c r="K533" s="36"/>
      <c r="L533" s="36"/>
      <c r="M533" s="36"/>
      <c r="N533" s="35"/>
      <c r="O533" s="35"/>
      <c r="P533" s="35"/>
      <c r="Q533" s="36"/>
      <c r="R533" s="36"/>
      <c r="S533" s="36"/>
      <c r="T533" s="46"/>
      <c r="U533" s="36"/>
      <c r="V533" s="35"/>
      <c r="W533" s="38" t="str">
        <f t="shared" si="8"/>
        <v/>
      </c>
    </row>
    <row r="534" spans="1:23" x14ac:dyDescent="0.35">
      <c r="A534" s="46"/>
      <c r="B534" s="36"/>
      <c r="C534" s="35"/>
      <c r="D534" s="24"/>
      <c r="E534" s="35"/>
      <c r="F534" s="35"/>
      <c r="G534" s="36"/>
      <c r="H534" s="36"/>
      <c r="I534" s="36"/>
      <c r="J534" s="36"/>
      <c r="K534" s="36"/>
      <c r="L534" s="36"/>
      <c r="M534" s="36"/>
      <c r="N534" s="35"/>
      <c r="O534" s="35"/>
      <c r="P534" s="35"/>
      <c r="Q534" s="36"/>
      <c r="R534" s="36"/>
      <c r="S534" s="36"/>
      <c r="T534" s="46"/>
      <c r="U534" s="36"/>
      <c r="V534" s="35"/>
      <c r="W534" s="38" t="str">
        <f t="shared" si="8"/>
        <v/>
      </c>
    </row>
    <row r="535" spans="1:23" x14ac:dyDescent="0.35">
      <c r="A535" s="46"/>
      <c r="B535" s="36"/>
      <c r="C535" s="35"/>
      <c r="D535" s="24"/>
      <c r="E535" s="35"/>
      <c r="F535" s="35"/>
      <c r="G535" s="36"/>
      <c r="H535" s="36"/>
      <c r="I535" s="36"/>
      <c r="J535" s="36"/>
      <c r="K535" s="36"/>
      <c r="L535" s="36"/>
      <c r="M535" s="36"/>
      <c r="N535" s="35"/>
      <c r="O535" s="35"/>
      <c r="P535" s="35"/>
      <c r="Q535" s="36"/>
      <c r="R535" s="36"/>
      <c r="S535" s="36"/>
      <c r="T535" s="46"/>
      <c r="U535" s="36"/>
      <c r="V535" s="35"/>
      <c r="W535" s="38" t="str">
        <f t="shared" si="8"/>
        <v/>
      </c>
    </row>
    <row r="536" spans="1:23" x14ac:dyDescent="0.35">
      <c r="A536" s="46"/>
      <c r="B536" s="36"/>
      <c r="C536" s="35"/>
      <c r="D536" s="24"/>
      <c r="E536" s="35"/>
      <c r="F536" s="35"/>
      <c r="G536" s="36"/>
      <c r="H536" s="36"/>
      <c r="I536" s="36"/>
      <c r="J536" s="36"/>
      <c r="K536" s="36"/>
      <c r="L536" s="36"/>
      <c r="M536" s="36"/>
      <c r="N536" s="35"/>
      <c r="O536" s="35"/>
      <c r="P536" s="35"/>
      <c r="Q536" s="36"/>
      <c r="R536" s="36"/>
      <c r="S536" s="36"/>
      <c r="T536" s="46"/>
      <c r="U536" s="36"/>
      <c r="V536" s="35"/>
      <c r="W536" s="38" t="str">
        <f t="shared" si="8"/>
        <v/>
      </c>
    </row>
    <row r="537" spans="1:23" x14ac:dyDescent="0.35">
      <c r="A537" s="46"/>
      <c r="B537" s="36"/>
      <c r="C537" s="35"/>
      <c r="D537" s="24"/>
      <c r="E537" s="35"/>
      <c r="F537" s="35"/>
      <c r="G537" s="36"/>
      <c r="H537" s="36"/>
      <c r="I537" s="36"/>
      <c r="J537" s="36"/>
      <c r="K537" s="36"/>
      <c r="L537" s="36"/>
      <c r="M537" s="36"/>
      <c r="N537" s="35"/>
      <c r="O537" s="35"/>
      <c r="P537" s="35"/>
      <c r="Q537" s="36"/>
      <c r="R537" s="36"/>
      <c r="S537" s="36"/>
      <c r="T537" s="46"/>
      <c r="U537" s="36"/>
      <c r="V537" s="35"/>
      <c r="W537" s="38" t="str">
        <f t="shared" si="8"/>
        <v/>
      </c>
    </row>
    <row r="538" spans="1:23" x14ac:dyDescent="0.35">
      <c r="A538" s="46"/>
      <c r="B538" s="36"/>
      <c r="C538" s="35"/>
      <c r="D538" s="24"/>
      <c r="E538" s="35"/>
      <c r="F538" s="35"/>
      <c r="G538" s="36"/>
      <c r="H538" s="36"/>
      <c r="I538" s="36"/>
      <c r="J538" s="36"/>
      <c r="K538" s="36"/>
      <c r="L538" s="36"/>
      <c r="M538" s="36"/>
      <c r="N538" s="35"/>
      <c r="O538" s="35"/>
      <c r="P538" s="35"/>
      <c r="Q538" s="36"/>
      <c r="R538" s="36"/>
      <c r="S538" s="36"/>
      <c r="T538" s="46"/>
      <c r="U538" s="36"/>
      <c r="V538" s="35"/>
      <c r="W538" s="38" t="str">
        <f t="shared" si="8"/>
        <v/>
      </c>
    </row>
    <row r="539" spans="1:23" x14ac:dyDescent="0.35">
      <c r="A539" s="46"/>
      <c r="B539" s="36"/>
      <c r="C539" s="35"/>
      <c r="D539" s="24"/>
      <c r="E539" s="35"/>
      <c r="F539" s="35"/>
      <c r="G539" s="36"/>
      <c r="H539" s="36"/>
      <c r="I539" s="36"/>
      <c r="J539" s="36"/>
      <c r="K539" s="36"/>
      <c r="L539" s="36"/>
      <c r="M539" s="36"/>
      <c r="N539" s="35"/>
      <c r="O539" s="35"/>
      <c r="P539" s="35"/>
      <c r="Q539" s="36"/>
      <c r="R539" s="36"/>
      <c r="S539" s="36"/>
      <c r="T539" s="46"/>
      <c r="U539" s="36"/>
      <c r="V539" s="35"/>
      <c r="W539" s="38" t="str">
        <f t="shared" si="8"/>
        <v/>
      </c>
    </row>
    <row r="540" spans="1:23" x14ac:dyDescent="0.35">
      <c r="A540" s="46"/>
      <c r="B540" s="36"/>
      <c r="C540" s="35"/>
      <c r="D540" s="24"/>
      <c r="E540" s="35"/>
      <c r="F540" s="35"/>
      <c r="G540" s="36"/>
      <c r="H540" s="36"/>
      <c r="I540" s="36"/>
      <c r="J540" s="36"/>
      <c r="K540" s="36"/>
      <c r="L540" s="36"/>
      <c r="M540" s="36"/>
      <c r="N540" s="35"/>
      <c r="O540" s="35"/>
      <c r="P540" s="35"/>
      <c r="Q540" s="36"/>
      <c r="R540" s="36"/>
      <c r="S540" s="36"/>
      <c r="T540" s="46"/>
      <c r="U540" s="36"/>
      <c r="V540" s="35"/>
      <c r="W540" s="38" t="str">
        <f t="shared" si="8"/>
        <v/>
      </c>
    </row>
    <row r="541" spans="1:23" x14ac:dyDescent="0.35">
      <c r="A541" s="46"/>
      <c r="B541" s="36"/>
      <c r="C541" s="35"/>
      <c r="D541" s="24"/>
      <c r="E541" s="35"/>
      <c r="F541" s="35"/>
      <c r="G541" s="36"/>
      <c r="H541" s="36"/>
      <c r="I541" s="36"/>
      <c r="J541" s="36"/>
      <c r="K541" s="36"/>
      <c r="L541" s="36"/>
      <c r="M541" s="36"/>
      <c r="N541" s="35"/>
      <c r="O541" s="35"/>
      <c r="P541" s="35"/>
      <c r="Q541" s="36"/>
      <c r="R541" s="36"/>
      <c r="S541" s="36"/>
      <c r="T541" s="46"/>
      <c r="U541" s="36"/>
      <c r="V541" s="35"/>
      <c r="W541" s="38" t="str">
        <f t="shared" si="8"/>
        <v/>
      </c>
    </row>
    <row r="542" spans="1:23" x14ac:dyDescent="0.35">
      <c r="A542" s="46"/>
      <c r="B542" s="36"/>
      <c r="C542" s="35"/>
      <c r="D542" s="24"/>
      <c r="E542" s="35"/>
      <c r="F542" s="35"/>
      <c r="G542" s="36"/>
      <c r="H542" s="36"/>
      <c r="I542" s="36"/>
      <c r="J542" s="36"/>
      <c r="K542" s="36"/>
      <c r="L542" s="36"/>
      <c r="M542" s="36"/>
      <c r="N542" s="35"/>
      <c r="O542" s="35"/>
      <c r="P542" s="35"/>
      <c r="Q542" s="36"/>
      <c r="R542" s="36"/>
      <c r="S542" s="36"/>
      <c r="T542" s="46"/>
      <c r="U542" s="36"/>
      <c r="V542" s="35"/>
      <c r="W542" s="38" t="str">
        <f t="shared" si="8"/>
        <v/>
      </c>
    </row>
    <row r="543" spans="1:23" x14ac:dyDescent="0.35">
      <c r="A543" s="46"/>
      <c r="B543" s="36"/>
      <c r="C543" s="35"/>
      <c r="D543" s="24"/>
      <c r="E543" s="35"/>
      <c r="F543" s="35"/>
      <c r="G543" s="36"/>
      <c r="H543" s="36"/>
      <c r="I543" s="36"/>
      <c r="J543" s="36"/>
      <c r="K543" s="36"/>
      <c r="L543" s="36"/>
      <c r="M543" s="36"/>
      <c r="N543" s="35"/>
      <c r="O543" s="35"/>
      <c r="P543" s="35"/>
      <c r="Q543" s="36"/>
      <c r="R543" s="36"/>
      <c r="S543" s="36"/>
      <c r="T543" s="46"/>
      <c r="U543" s="36"/>
      <c r="V543" s="35"/>
      <c r="W543" s="38" t="str">
        <f t="shared" si="8"/>
        <v/>
      </c>
    </row>
    <row r="544" spans="1:23" x14ac:dyDescent="0.35">
      <c r="A544" s="46"/>
      <c r="B544" s="36"/>
      <c r="C544" s="35"/>
      <c r="D544" s="24"/>
      <c r="E544" s="35"/>
      <c r="F544" s="35"/>
      <c r="G544" s="36"/>
      <c r="H544" s="36"/>
      <c r="I544" s="36"/>
      <c r="J544" s="36"/>
      <c r="K544" s="36"/>
      <c r="L544" s="36"/>
      <c r="M544" s="36"/>
      <c r="N544" s="35"/>
      <c r="O544" s="35"/>
      <c r="P544" s="35"/>
      <c r="Q544" s="36"/>
      <c r="R544" s="36"/>
      <c r="S544" s="36"/>
      <c r="T544" s="46"/>
      <c r="U544" s="36"/>
      <c r="V544" s="35"/>
      <c r="W544" s="38" t="str">
        <f t="shared" si="8"/>
        <v/>
      </c>
    </row>
    <row r="545" spans="1:23" x14ac:dyDescent="0.35">
      <c r="A545" s="46"/>
      <c r="B545" s="36"/>
      <c r="C545" s="35"/>
      <c r="D545" s="24"/>
      <c r="E545" s="35"/>
      <c r="F545" s="35"/>
      <c r="G545" s="36"/>
      <c r="H545" s="36"/>
      <c r="I545" s="36"/>
      <c r="J545" s="36"/>
      <c r="K545" s="36"/>
      <c r="L545" s="36"/>
      <c r="M545" s="36"/>
      <c r="N545" s="35"/>
      <c r="O545" s="35"/>
      <c r="P545" s="35"/>
      <c r="Q545" s="36"/>
      <c r="R545" s="36"/>
      <c r="S545" s="36"/>
      <c r="T545" s="46"/>
      <c r="U545" s="36"/>
      <c r="V545" s="35"/>
      <c r="W545" s="38" t="str">
        <f t="shared" si="8"/>
        <v/>
      </c>
    </row>
    <row r="546" spans="1:23" x14ac:dyDescent="0.35">
      <c r="A546" s="46"/>
      <c r="B546" s="36"/>
      <c r="C546" s="35"/>
      <c r="D546" s="24"/>
      <c r="E546" s="35"/>
      <c r="F546" s="35"/>
      <c r="G546" s="36"/>
      <c r="H546" s="36"/>
      <c r="I546" s="36"/>
      <c r="J546" s="36"/>
      <c r="K546" s="36"/>
      <c r="L546" s="36"/>
      <c r="M546" s="36"/>
      <c r="N546" s="35"/>
      <c r="O546" s="35"/>
      <c r="P546" s="35"/>
      <c r="Q546" s="36"/>
      <c r="R546" s="36"/>
      <c r="S546" s="36"/>
      <c r="T546" s="46"/>
      <c r="U546" s="36"/>
      <c r="V546" s="35"/>
      <c r="W546" s="38" t="str">
        <f t="shared" si="8"/>
        <v/>
      </c>
    </row>
    <row r="547" spans="1:23" x14ac:dyDescent="0.35">
      <c r="A547" s="46"/>
      <c r="B547" s="36"/>
      <c r="C547" s="35"/>
      <c r="D547" s="24"/>
      <c r="E547" s="35"/>
      <c r="F547" s="35"/>
      <c r="G547" s="36"/>
      <c r="H547" s="36"/>
      <c r="I547" s="36"/>
      <c r="J547" s="36"/>
      <c r="K547" s="36"/>
      <c r="L547" s="36"/>
      <c r="M547" s="36"/>
      <c r="N547" s="35"/>
      <c r="O547" s="35"/>
      <c r="P547" s="35"/>
      <c r="Q547" s="36"/>
      <c r="R547" s="36"/>
      <c r="S547" s="36"/>
      <c r="T547" s="46"/>
      <c r="U547" s="36"/>
      <c r="V547" s="35"/>
      <c r="W547" s="38" t="str">
        <f t="shared" si="8"/>
        <v/>
      </c>
    </row>
    <row r="548" spans="1:23" x14ac:dyDescent="0.35">
      <c r="A548" s="46"/>
      <c r="B548" s="36"/>
      <c r="C548" s="35"/>
      <c r="D548" s="24"/>
      <c r="E548" s="35"/>
      <c r="F548" s="35"/>
      <c r="G548" s="36"/>
      <c r="H548" s="36"/>
      <c r="I548" s="36"/>
      <c r="J548" s="36"/>
      <c r="K548" s="36"/>
      <c r="L548" s="36"/>
      <c r="M548" s="36"/>
      <c r="N548" s="35"/>
      <c r="O548" s="35"/>
      <c r="P548" s="35"/>
      <c r="Q548" s="36"/>
      <c r="R548" s="36"/>
      <c r="S548" s="36"/>
      <c r="T548" s="46"/>
      <c r="U548" s="36"/>
      <c r="V548" s="35"/>
      <c r="W548" s="38" t="str">
        <f t="shared" si="8"/>
        <v/>
      </c>
    </row>
    <row r="549" spans="1:23" x14ac:dyDescent="0.35">
      <c r="A549" s="46"/>
      <c r="B549" s="36"/>
      <c r="C549" s="35"/>
      <c r="D549" s="24"/>
      <c r="E549" s="35"/>
      <c r="F549" s="35"/>
      <c r="G549" s="36"/>
      <c r="H549" s="36"/>
      <c r="I549" s="36"/>
      <c r="J549" s="36"/>
      <c r="K549" s="36"/>
      <c r="L549" s="36"/>
      <c r="M549" s="36"/>
      <c r="N549" s="35"/>
      <c r="O549" s="35"/>
      <c r="P549" s="35"/>
      <c r="Q549" s="36"/>
      <c r="R549" s="36"/>
      <c r="S549" s="36"/>
      <c r="T549" s="46"/>
      <c r="U549" s="36"/>
      <c r="V549" s="35"/>
      <c r="W549" s="38" t="str">
        <f t="shared" si="8"/>
        <v/>
      </c>
    </row>
    <row r="550" spans="1:23" x14ac:dyDescent="0.35">
      <c r="A550" s="46"/>
      <c r="B550" s="36"/>
      <c r="C550" s="35"/>
      <c r="D550" s="24"/>
      <c r="E550" s="35"/>
      <c r="F550" s="35"/>
      <c r="G550" s="36"/>
      <c r="H550" s="36"/>
      <c r="I550" s="36"/>
      <c r="J550" s="36"/>
      <c r="K550" s="36"/>
      <c r="L550" s="36"/>
      <c r="M550" s="36"/>
      <c r="N550" s="35"/>
      <c r="O550" s="35"/>
      <c r="P550" s="35"/>
      <c r="Q550" s="36"/>
      <c r="R550" s="36"/>
      <c r="S550" s="36"/>
      <c r="T550" s="46"/>
      <c r="U550" s="36"/>
      <c r="V550" s="35"/>
      <c r="W550" s="38" t="str">
        <f t="shared" si="8"/>
        <v/>
      </c>
    </row>
    <row r="551" spans="1:23" x14ac:dyDescent="0.35">
      <c r="A551" s="46"/>
      <c r="B551" s="36"/>
      <c r="C551" s="35"/>
      <c r="D551" s="24"/>
      <c r="E551" s="35"/>
      <c r="F551" s="35"/>
      <c r="G551" s="36"/>
      <c r="H551" s="36"/>
      <c r="I551" s="36"/>
      <c r="J551" s="36"/>
      <c r="K551" s="36"/>
      <c r="L551" s="36"/>
      <c r="M551" s="36"/>
      <c r="N551" s="35"/>
      <c r="O551" s="35"/>
      <c r="P551" s="35"/>
      <c r="Q551" s="36"/>
      <c r="R551" s="36"/>
      <c r="S551" s="36"/>
      <c r="T551" s="46"/>
      <c r="U551" s="36"/>
      <c r="V551" s="35"/>
      <c r="W551" s="38" t="str">
        <f t="shared" si="8"/>
        <v/>
      </c>
    </row>
    <row r="552" spans="1:23" x14ac:dyDescent="0.35">
      <c r="A552" s="46"/>
      <c r="B552" s="36"/>
      <c r="C552" s="35"/>
      <c r="D552" s="24"/>
      <c r="E552" s="35"/>
      <c r="F552" s="35"/>
      <c r="G552" s="36"/>
      <c r="H552" s="36"/>
      <c r="I552" s="36"/>
      <c r="J552" s="36"/>
      <c r="K552" s="36"/>
      <c r="L552" s="36"/>
      <c r="M552" s="36"/>
      <c r="N552" s="35"/>
      <c r="O552" s="35"/>
      <c r="P552" s="35"/>
      <c r="Q552" s="36"/>
      <c r="R552" s="36"/>
      <c r="S552" s="36"/>
      <c r="T552" s="46"/>
      <c r="U552" s="36"/>
      <c r="V552" s="35"/>
      <c r="W552" s="38" t="str">
        <f t="shared" si="8"/>
        <v/>
      </c>
    </row>
    <row r="553" spans="1:23" x14ac:dyDescent="0.35">
      <c r="A553" s="46"/>
      <c r="B553" s="36"/>
      <c r="C553" s="35"/>
      <c r="D553" s="24"/>
      <c r="E553" s="35"/>
      <c r="F553" s="35"/>
      <c r="G553" s="36"/>
      <c r="H553" s="36"/>
      <c r="I553" s="36"/>
      <c r="J553" s="36"/>
      <c r="K553" s="36"/>
      <c r="L553" s="36"/>
      <c r="M553" s="36"/>
      <c r="N553" s="35"/>
      <c r="O553" s="35"/>
      <c r="P553" s="35"/>
      <c r="Q553" s="36"/>
      <c r="R553" s="36"/>
      <c r="S553" s="36"/>
      <c r="T553" s="46"/>
      <c r="U553" s="36"/>
      <c r="V553" s="35"/>
      <c r="W553" s="38" t="str">
        <f t="shared" si="8"/>
        <v/>
      </c>
    </row>
    <row r="554" spans="1:23" x14ac:dyDescent="0.35">
      <c r="A554" s="46"/>
      <c r="B554" s="36"/>
      <c r="C554" s="35"/>
      <c r="D554" s="24"/>
      <c r="E554" s="35"/>
      <c r="F554" s="35"/>
      <c r="G554" s="36"/>
      <c r="H554" s="36"/>
      <c r="I554" s="36"/>
      <c r="J554" s="36"/>
      <c r="K554" s="36"/>
      <c r="L554" s="36"/>
      <c r="M554" s="36"/>
      <c r="N554" s="35"/>
      <c r="O554" s="35"/>
      <c r="P554" s="35"/>
      <c r="Q554" s="36"/>
      <c r="R554" s="36"/>
      <c r="S554" s="36"/>
      <c r="T554" s="46"/>
      <c r="U554" s="36"/>
      <c r="V554" s="35"/>
      <c r="W554" s="38" t="str">
        <f t="shared" si="8"/>
        <v/>
      </c>
    </row>
    <row r="555" spans="1:23" x14ac:dyDescent="0.35">
      <c r="A555" s="46"/>
      <c r="B555" s="36"/>
      <c r="C555" s="35"/>
      <c r="D555" s="24"/>
      <c r="E555" s="35"/>
      <c r="F555" s="35"/>
      <c r="G555" s="36"/>
      <c r="H555" s="36"/>
      <c r="I555" s="36"/>
      <c r="J555" s="36"/>
      <c r="K555" s="36"/>
      <c r="L555" s="36"/>
      <c r="M555" s="36"/>
      <c r="N555" s="35"/>
      <c r="O555" s="35"/>
      <c r="P555" s="35"/>
      <c r="Q555" s="36"/>
      <c r="R555" s="36"/>
      <c r="S555" s="36"/>
      <c r="T555" s="46"/>
      <c r="U555" s="36"/>
      <c r="V555" s="35"/>
      <c r="W555" s="38" t="str">
        <f t="shared" si="8"/>
        <v/>
      </c>
    </row>
    <row r="556" spans="1:23" x14ac:dyDescent="0.35">
      <c r="A556" s="46"/>
      <c r="B556" s="36"/>
      <c r="C556" s="35"/>
      <c r="D556" s="24"/>
      <c r="E556" s="35"/>
      <c r="F556" s="35"/>
      <c r="G556" s="36"/>
      <c r="H556" s="36"/>
      <c r="I556" s="36"/>
      <c r="J556" s="36"/>
      <c r="K556" s="36"/>
      <c r="L556" s="36"/>
      <c r="M556" s="36"/>
      <c r="N556" s="35"/>
      <c r="O556" s="35"/>
      <c r="P556" s="35"/>
      <c r="Q556" s="36"/>
      <c r="R556" s="36"/>
      <c r="S556" s="36"/>
      <c r="T556" s="46"/>
      <c r="U556" s="36"/>
      <c r="V556" s="35"/>
      <c r="W556" s="38" t="str">
        <f t="shared" si="8"/>
        <v/>
      </c>
    </row>
    <row r="557" spans="1:23" x14ac:dyDescent="0.35">
      <c r="A557" s="46"/>
      <c r="B557" s="36"/>
      <c r="C557" s="35"/>
      <c r="D557" s="24"/>
      <c r="E557" s="35"/>
      <c r="F557" s="35"/>
      <c r="G557" s="36"/>
      <c r="H557" s="36"/>
      <c r="I557" s="36"/>
      <c r="J557" s="36"/>
      <c r="K557" s="36"/>
      <c r="L557" s="36"/>
      <c r="M557" s="36"/>
      <c r="N557" s="35"/>
      <c r="O557" s="35"/>
      <c r="P557" s="35"/>
      <c r="Q557" s="36"/>
      <c r="R557" s="36"/>
      <c r="S557" s="36"/>
      <c r="T557" s="46"/>
      <c r="U557" s="36"/>
      <c r="V557" s="35"/>
      <c r="W557" s="38" t="str">
        <f t="shared" si="8"/>
        <v/>
      </c>
    </row>
    <row r="558" spans="1:23" x14ac:dyDescent="0.35">
      <c r="A558" s="46"/>
      <c r="B558" s="36"/>
      <c r="C558" s="35"/>
      <c r="D558" s="24"/>
      <c r="E558" s="35"/>
      <c r="F558" s="35"/>
      <c r="G558" s="36"/>
      <c r="H558" s="36"/>
      <c r="I558" s="36"/>
      <c r="J558" s="36"/>
      <c r="K558" s="36"/>
      <c r="L558" s="36"/>
      <c r="M558" s="36"/>
      <c r="N558" s="35"/>
      <c r="O558" s="35"/>
      <c r="P558" s="35"/>
      <c r="Q558" s="36"/>
      <c r="R558" s="36"/>
      <c r="S558" s="36"/>
      <c r="T558" s="46"/>
      <c r="U558" s="36"/>
      <c r="V558" s="35"/>
      <c r="W558" s="38" t="str">
        <f t="shared" si="8"/>
        <v/>
      </c>
    </row>
    <row r="559" spans="1:23" x14ac:dyDescent="0.35">
      <c r="A559" s="46"/>
      <c r="B559" s="36"/>
      <c r="C559" s="35"/>
      <c r="D559" s="24"/>
      <c r="E559" s="35"/>
      <c r="F559" s="35"/>
      <c r="G559" s="36"/>
      <c r="H559" s="36"/>
      <c r="I559" s="36"/>
      <c r="J559" s="36"/>
      <c r="K559" s="36"/>
      <c r="L559" s="36"/>
      <c r="M559" s="36"/>
      <c r="N559" s="35"/>
      <c r="O559" s="35"/>
      <c r="P559" s="35"/>
      <c r="Q559" s="36"/>
      <c r="R559" s="36"/>
      <c r="S559" s="36"/>
      <c r="T559" s="46"/>
      <c r="U559" s="36"/>
      <c r="V559" s="35"/>
      <c r="W559" s="38" t="str">
        <f t="shared" si="8"/>
        <v/>
      </c>
    </row>
    <row r="560" spans="1:23" x14ac:dyDescent="0.35">
      <c r="A560" s="46"/>
      <c r="B560" s="36"/>
      <c r="C560" s="35"/>
      <c r="D560" s="24"/>
      <c r="E560" s="35"/>
      <c r="F560" s="35"/>
      <c r="G560" s="36"/>
      <c r="H560" s="36"/>
      <c r="I560" s="36"/>
      <c r="J560" s="36"/>
      <c r="K560" s="36"/>
      <c r="L560" s="36"/>
      <c r="M560" s="36"/>
      <c r="N560" s="35"/>
      <c r="O560" s="35"/>
      <c r="P560" s="35"/>
      <c r="Q560" s="36"/>
      <c r="R560" s="36"/>
      <c r="S560" s="36"/>
      <c r="T560" s="46"/>
      <c r="U560" s="36"/>
      <c r="V560" s="35"/>
      <c r="W560" s="38" t="str">
        <f t="shared" si="8"/>
        <v/>
      </c>
    </row>
    <row r="561" spans="1:23" x14ac:dyDescent="0.35">
      <c r="A561" s="46"/>
      <c r="B561" s="36"/>
      <c r="C561" s="35"/>
      <c r="D561" s="24"/>
      <c r="E561" s="35"/>
      <c r="F561" s="35"/>
      <c r="G561" s="36"/>
      <c r="H561" s="36"/>
      <c r="I561" s="36"/>
      <c r="J561" s="36"/>
      <c r="K561" s="36"/>
      <c r="L561" s="36"/>
      <c r="M561" s="36"/>
      <c r="N561" s="35"/>
      <c r="O561" s="35"/>
      <c r="P561" s="35"/>
      <c r="Q561" s="36"/>
      <c r="R561" s="36"/>
      <c r="S561" s="36"/>
      <c r="T561" s="46"/>
      <c r="U561" s="36"/>
      <c r="V561" s="35"/>
      <c r="W561" s="38" t="str">
        <f t="shared" si="8"/>
        <v/>
      </c>
    </row>
    <row r="562" spans="1:23" x14ac:dyDescent="0.35">
      <c r="A562" s="46"/>
      <c r="B562" s="36"/>
      <c r="C562" s="35"/>
      <c r="D562" s="24"/>
      <c r="E562" s="35"/>
      <c r="F562" s="35"/>
      <c r="G562" s="36"/>
      <c r="H562" s="36"/>
      <c r="I562" s="36"/>
      <c r="J562" s="36"/>
      <c r="K562" s="36"/>
      <c r="L562" s="36"/>
      <c r="M562" s="36"/>
      <c r="N562" s="35"/>
      <c r="O562" s="35"/>
      <c r="P562" s="35"/>
      <c r="Q562" s="36"/>
      <c r="R562" s="36"/>
      <c r="S562" s="36"/>
      <c r="T562" s="46"/>
      <c r="U562" s="36"/>
      <c r="V562" s="35"/>
      <c r="W562" s="38" t="str">
        <f t="shared" si="8"/>
        <v/>
      </c>
    </row>
    <row r="563" spans="1:23" x14ac:dyDescent="0.35">
      <c r="A563" s="46"/>
      <c r="B563" s="36"/>
      <c r="C563" s="35"/>
      <c r="D563" s="24"/>
      <c r="E563" s="35"/>
      <c r="F563" s="35"/>
      <c r="G563" s="36"/>
      <c r="H563" s="36"/>
      <c r="I563" s="36"/>
      <c r="J563" s="36"/>
      <c r="K563" s="36"/>
      <c r="L563" s="36"/>
      <c r="M563" s="36"/>
      <c r="N563" s="35"/>
      <c r="O563" s="35"/>
      <c r="P563" s="35"/>
      <c r="Q563" s="36"/>
      <c r="R563" s="36"/>
      <c r="S563" s="36"/>
      <c r="T563" s="46"/>
      <c r="U563" s="36"/>
      <c r="V563" s="35"/>
      <c r="W563" s="38" t="str">
        <f t="shared" si="8"/>
        <v/>
      </c>
    </row>
    <row r="564" spans="1:23" x14ac:dyDescent="0.35">
      <c r="A564" s="46"/>
      <c r="B564" s="36"/>
      <c r="C564" s="35"/>
      <c r="D564" s="24"/>
      <c r="E564" s="35"/>
      <c r="F564" s="35"/>
      <c r="G564" s="36"/>
      <c r="H564" s="36"/>
      <c r="I564" s="36"/>
      <c r="J564" s="36"/>
      <c r="K564" s="36"/>
      <c r="L564" s="36"/>
      <c r="M564" s="36"/>
      <c r="N564" s="35"/>
      <c r="O564" s="35"/>
      <c r="P564" s="35"/>
      <c r="Q564" s="36"/>
      <c r="R564" s="36"/>
      <c r="S564" s="36"/>
      <c r="T564" s="46"/>
      <c r="U564" s="36"/>
      <c r="V564" s="35"/>
      <c r="W564" s="38" t="str">
        <f t="shared" si="8"/>
        <v/>
      </c>
    </row>
    <row r="565" spans="1:23" x14ac:dyDescent="0.35">
      <c r="A565" s="46"/>
      <c r="B565" s="36"/>
      <c r="C565" s="35"/>
      <c r="D565" s="24"/>
      <c r="E565" s="35"/>
      <c r="F565" s="35"/>
      <c r="G565" s="36"/>
      <c r="H565" s="36"/>
      <c r="I565" s="36"/>
      <c r="J565" s="36"/>
      <c r="K565" s="36"/>
      <c r="L565" s="36"/>
      <c r="M565" s="36"/>
      <c r="N565" s="35"/>
      <c r="O565" s="35"/>
      <c r="P565" s="35"/>
      <c r="Q565" s="36"/>
      <c r="R565" s="36"/>
      <c r="S565" s="36"/>
      <c r="T565" s="46"/>
      <c r="U565" s="36"/>
      <c r="V565" s="35"/>
      <c r="W565" s="38" t="str">
        <f t="shared" si="8"/>
        <v/>
      </c>
    </row>
    <row r="566" spans="1:23" x14ac:dyDescent="0.35">
      <c r="A566" s="46"/>
      <c r="B566" s="36"/>
      <c r="C566" s="35"/>
      <c r="D566" s="24"/>
      <c r="E566" s="35"/>
      <c r="F566" s="35"/>
      <c r="G566" s="36"/>
      <c r="H566" s="36"/>
      <c r="I566" s="36"/>
      <c r="J566" s="36"/>
      <c r="K566" s="36"/>
      <c r="L566" s="36"/>
      <c r="M566" s="36"/>
      <c r="N566" s="35"/>
      <c r="O566" s="35"/>
      <c r="P566" s="35"/>
      <c r="Q566" s="36"/>
      <c r="R566" s="36"/>
      <c r="S566" s="36"/>
      <c r="T566" s="46"/>
      <c r="U566" s="36"/>
      <c r="V566" s="35"/>
      <c r="W566" s="38" t="str">
        <f t="shared" si="8"/>
        <v/>
      </c>
    </row>
    <row r="567" spans="1:23" x14ac:dyDescent="0.35">
      <c r="A567" s="46"/>
      <c r="B567" s="36"/>
      <c r="C567" s="35"/>
      <c r="D567" s="24"/>
      <c r="E567" s="35"/>
      <c r="F567" s="35"/>
      <c r="G567" s="36"/>
      <c r="H567" s="36"/>
      <c r="I567" s="36"/>
      <c r="J567" s="36"/>
      <c r="K567" s="36"/>
      <c r="L567" s="36"/>
      <c r="M567" s="36"/>
      <c r="N567" s="35"/>
      <c r="O567" s="35"/>
      <c r="P567" s="35"/>
      <c r="Q567" s="36"/>
      <c r="R567" s="36"/>
      <c r="S567" s="36"/>
      <c r="T567" s="46"/>
      <c r="U567" s="36"/>
      <c r="V567" s="35"/>
      <c r="W567" s="38" t="str">
        <f t="shared" si="8"/>
        <v/>
      </c>
    </row>
    <row r="568" spans="1:23" x14ac:dyDescent="0.35">
      <c r="A568" s="46"/>
      <c r="B568" s="36"/>
      <c r="C568" s="35"/>
      <c r="D568" s="24"/>
      <c r="E568" s="35"/>
      <c r="F568" s="35"/>
      <c r="G568" s="36"/>
      <c r="H568" s="36"/>
      <c r="I568" s="36"/>
      <c r="J568" s="36"/>
      <c r="K568" s="36"/>
      <c r="L568" s="36"/>
      <c r="M568" s="36"/>
      <c r="N568" s="35"/>
      <c r="O568" s="35"/>
      <c r="P568" s="35"/>
      <c r="Q568" s="36"/>
      <c r="R568" s="36"/>
      <c r="S568" s="36"/>
      <c r="T568" s="46"/>
      <c r="U568" s="36"/>
      <c r="V568" s="35"/>
      <c r="W568" s="38" t="str">
        <f t="shared" si="8"/>
        <v/>
      </c>
    </row>
    <row r="569" spans="1:23" x14ac:dyDescent="0.35">
      <c r="A569" s="46"/>
      <c r="B569" s="36"/>
      <c r="C569" s="35"/>
      <c r="D569" s="24"/>
      <c r="E569" s="35"/>
      <c r="F569" s="35"/>
      <c r="G569" s="36"/>
      <c r="H569" s="36"/>
      <c r="I569" s="36"/>
      <c r="J569" s="36"/>
      <c r="K569" s="36"/>
      <c r="L569" s="36"/>
      <c r="M569" s="36"/>
      <c r="N569" s="35"/>
      <c r="O569" s="35"/>
      <c r="P569" s="35"/>
      <c r="Q569" s="36"/>
      <c r="R569" s="36"/>
      <c r="S569" s="36"/>
      <c r="T569" s="46"/>
      <c r="U569" s="36"/>
      <c r="V569" s="35"/>
      <c r="W569" s="38" t="str">
        <f t="shared" si="8"/>
        <v/>
      </c>
    </row>
    <row r="570" spans="1:23" x14ac:dyDescent="0.35">
      <c r="A570" s="46"/>
      <c r="B570" s="36"/>
      <c r="C570" s="35"/>
      <c r="D570" s="24"/>
      <c r="E570" s="35"/>
      <c r="F570" s="35"/>
      <c r="G570" s="36"/>
      <c r="H570" s="36"/>
      <c r="I570" s="36"/>
      <c r="J570" s="36"/>
      <c r="K570" s="36"/>
      <c r="L570" s="36"/>
      <c r="M570" s="36"/>
      <c r="N570" s="35"/>
      <c r="O570" s="35"/>
      <c r="P570" s="35"/>
      <c r="Q570" s="36"/>
      <c r="R570" s="36"/>
      <c r="S570" s="36"/>
      <c r="T570" s="46"/>
      <c r="U570" s="36"/>
      <c r="V570" s="35"/>
      <c r="W570" s="38" t="str">
        <f t="shared" si="8"/>
        <v/>
      </c>
    </row>
    <row r="571" spans="1:23" x14ac:dyDescent="0.35">
      <c r="A571" s="46"/>
      <c r="B571" s="36"/>
      <c r="C571" s="35"/>
      <c r="D571" s="24"/>
      <c r="E571" s="35"/>
      <c r="F571" s="35"/>
      <c r="G571" s="36"/>
      <c r="H571" s="36"/>
      <c r="I571" s="36"/>
      <c r="J571" s="36"/>
      <c r="K571" s="36"/>
      <c r="L571" s="36"/>
      <c r="M571" s="36"/>
      <c r="N571" s="35"/>
      <c r="O571" s="35"/>
      <c r="P571" s="35"/>
      <c r="Q571" s="36"/>
      <c r="R571" s="36"/>
      <c r="S571" s="36"/>
      <c r="T571" s="46"/>
      <c r="U571" s="36"/>
      <c r="V571" s="35"/>
      <c r="W571" s="38" t="str">
        <f t="shared" si="8"/>
        <v/>
      </c>
    </row>
    <row r="572" spans="1:23" x14ac:dyDescent="0.35">
      <c r="A572" s="46"/>
      <c r="B572" s="36"/>
      <c r="C572" s="35"/>
      <c r="D572" s="24"/>
      <c r="E572" s="35"/>
      <c r="F572" s="35"/>
      <c r="G572" s="36"/>
      <c r="H572" s="36"/>
      <c r="I572" s="36"/>
      <c r="J572" s="36"/>
      <c r="K572" s="36"/>
      <c r="L572" s="36"/>
      <c r="M572" s="36"/>
      <c r="N572" s="35"/>
      <c r="O572" s="35"/>
      <c r="P572" s="35"/>
      <c r="Q572" s="36"/>
      <c r="R572" s="36"/>
      <c r="S572" s="36"/>
      <c r="T572" s="46"/>
      <c r="U572" s="36"/>
      <c r="V572" s="35"/>
      <c r="W572" s="38" t="str">
        <f t="shared" si="8"/>
        <v/>
      </c>
    </row>
    <row r="573" spans="1:23" x14ac:dyDescent="0.35">
      <c r="A573" s="46"/>
      <c r="B573" s="36"/>
      <c r="C573" s="35"/>
      <c r="D573" s="24"/>
      <c r="E573" s="35"/>
      <c r="F573" s="35"/>
      <c r="G573" s="36"/>
      <c r="H573" s="36"/>
      <c r="I573" s="36"/>
      <c r="J573" s="36"/>
      <c r="K573" s="36"/>
      <c r="L573" s="36"/>
      <c r="M573" s="36"/>
      <c r="N573" s="35"/>
      <c r="O573" s="35"/>
      <c r="P573" s="35"/>
      <c r="Q573" s="36"/>
      <c r="R573" s="36"/>
      <c r="S573" s="36"/>
      <c r="T573" s="46"/>
      <c r="U573" s="36"/>
      <c r="V573" s="35"/>
      <c r="W573" s="38" t="str">
        <f t="shared" si="8"/>
        <v/>
      </c>
    </row>
    <row r="574" spans="1:23" x14ac:dyDescent="0.35">
      <c r="A574" s="46"/>
      <c r="B574" s="36"/>
      <c r="C574" s="35"/>
      <c r="D574" s="24"/>
      <c r="E574" s="35"/>
      <c r="F574" s="35"/>
      <c r="G574" s="36"/>
      <c r="H574" s="36"/>
      <c r="I574" s="36"/>
      <c r="J574" s="36"/>
      <c r="K574" s="36"/>
      <c r="L574" s="36"/>
      <c r="M574" s="36"/>
      <c r="N574" s="35"/>
      <c r="O574" s="35"/>
      <c r="P574" s="35"/>
      <c r="Q574" s="36"/>
      <c r="R574" s="36"/>
      <c r="S574" s="36"/>
      <c r="T574" s="46"/>
      <c r="U574" s="36"/>
      <c r="V574" s="35"/>
      <c r="W574" s="38" t="str">
        <f t="shared" si="8"/>
        <v/>
      </c>
    </row>
    <row r="575" spans="1:23" x14ac:dyDescent="0.35">
      <c r="A575" s="46"/>
      <c r="B575" s="36"/>
      <c r="C575" s="35"/>
      <c r="D575" s="24"/>
      <c r="E575" s="35"/>
      <c r="F575" s="35"/>
      <c r="G575" s="36"/>
      <c r="H575" s="36"/>
      <c r="I575" s="36"/>
      <c r="J575" s="36"/>
      <c r="K575" s="36"/>
      <c r="L575" s="36"/>
      <c r="M575" s="36"/>
      <c r="N575" s="35"/>
      <c r="O575" s="35"/>
      <c r="P575" s="35"/>
      <c r="Q575" s="36"/>
      <c r="R575" s="36"/>
      <c r="S575" s="36"/>
      <c r="T575" s="46"/>
      <c r="U575" s="36"/>
      <c r="V575" s="35"/>
      <c r="W575" s="38" t="str">
        <f t="shared" si="8"/>
        <v/>
      </c>
    </row>
    <row r="576" spans="1:23" x14ac:dyDescent="0.35">
      <c r="A576" s="46"/>
      <c r="B576" s="36"/>
      <c r="C576" s="35"/>
      <c r="D576" s="24"/>
      <c r="E576" s="35"/>
      <c r="F576" s="35"/>
      <c r="G576" s="36"/>
      <c r="H576" s="36"/>
      <c r="I576" s="36"/>
      <c r="J576" s="36"/>
      <c r="K576" s="36"/>
      <c r="L576" s="36"/>
      <c r="M576" s="36"/>
      <c r="N576" s="35"/>
      <c r="O576" s="35"/>
      <c r="P576" s="35"/>
      <c r="Q576" s="36"/>
      <c r="R576" s="36"/>
      <c r="S576" s="36"/>
      <c r="T576" s="46"/>
      <c r="U576" s="36"/>
      <c r="V576" s="35"/>
      <c r="W576" s="38" t="str">
        <f t="shared" si="8"/>
        <v/>
      </c>
    </row>
    <row r="577" spans="1:23" x14ac:dyDescent="0.35">
      <c r="A577" s="46"/>
      <c r="B577" s="36"/>
      <c r="C577" s="35"/>
      <c r="D577" s="24"/>
      <c r="E577" s="35"/>
      <c r="F577" s="35"/>
      <c r="G577" s="36"/>
      <c r="H577" s="36"/>
      <c r="I577" s="36"/>
      <c r="J577" s="36"/>
      <c r="K577" s="36"/>
      <c r="L577" s="36"/>
      <c r="M577" s="36"/>
      <c r="N577" s="35"/>
      <c r="O577" s="35"/>
      <c r="P577" s="35"/>
      <c r="Q577" s="36"/>
      <c r="R577" s="36"/>
      <c r="S577" s="36"/>
      <c r="T577" s="46"/>
      <c r="U577" s="36"/>
      <c r="V577" s="35"/>
      <c r="W577" s="38" t="str">
        <f t="shared" si="8"/>
        <v/>
      </c>
    </row>
    <row r="578" spans="1:23" x14ac:dyDescent="0.35">
      <c r="A578" s="46"/>
      <c r="B578" s="36"/>
      <c r="C578" s="35"/>
      <c r="D578" s="24"/>
      <c r="E578" s="35"/>
      <c r="F578" s="35"/>
      <c r="G578" s="36"/>
      <c r="H578" s="36"/>
      <c r="I578" s="36"/>
      <c r="J578" s="36"/>
      <c r="K578" s="36"/>
      <c r="L578" s="36"/>
      <c r="M578" s="36"/>
      <c r="N578" s="35"/>
      <c r="O578" s="35"/>
      <c r="P578" s="35"/>
      <c r="Q578" s="36"/>
      <c r="R578" s="36"/>
      <c r="S578" s="36"/>
      <c r="T578" s="46"/>
      <c r="U578" s="36"/>
      <c r="V578" s="35"/>
      <c r="W578" s="38" t="str">
        <f t="shared" si="8"/>
        <v/>
      </c>
    </row>
    <row r="579" spans="1:23" x14ac:dyDescent="0.35">
      <c r="A579" s="46"/>
      <c r="B579" s="36"/>
      <c r="C579" s="35"/>
      <c r="D579" s="24"/>
      <c r="E579" s="35"/>
      <c r="F579" s="35"/>
      <c r="G579" s="36"/>
      <c r="H579" s="36"/>
      <c r="I579" s="36"/>
      <c r="J579" s="36"/>
      <c r="K579" s="36"/>
      <c r="L579" s="36"/>
      <c r="M579" s="36"/>
      <c r="N579" s="35"/>
      <c r="O579" s="35"/>
      <c r="P579" s="35"/>
      <c r="Q579" s="36"/>
      <c r="R579" s="36"/>
      <c r="S579" s="36"/>
      <c r="T579" s="46"/>
      <c r="U579" s="36"/>
      <c r="V579" s="35"/>
      <c r="W579" s="38" t="str">
        <f t="shared" si="8"/>
        <v/>
      </c>
    </row>
    <row r="580" spans="1:23" x14ac:dyDescent="0.35">
      <c r="A580" s="46"/>
      <c r="B580" s="36"/>
      <c r="C580" s="35"/>
      <c r="D580" s="24"/>
      <c r="E580" s="35"/>
      <c r="F580" s="35"/>
      <c r="G580" s="36"/>
      <c r="H580" s="36"/>
      <c r="I580" s="36"/>
      <c r="J580" s="36"/>
      <c r="K580" s="36"/>
      <c r="L580" s="36"/>
      <c r="M580" s="36"/>
      <c r="N580" s="35"/>
      <c r="O580" s="35"/>
      <c r="P580" s="35"/>
      <c r="Q580" s="36"/>
      <c r="R580" s="36"/>
      <c r="S580" s="36"/>
      <c r="T580" s="46"/>
      <c r="U580" s="36"/>
      <c r="V580" s="35"/>
      <c r="W580" s="38" t="str">
        <f t="shared" si="8"/>
        <v/>
      </c>
    </row>
    <row r="581" spans="1:23" x14ac:dyDescent="0.35">
      <c r="A581" s="46"/>
      <c r="B581" s="36"/>
      <c r="C581" s="35"/>
      <c r="D581" s="24"/>
      <c r="E581" s="35"/>
      <c r="F581" s="35"/>
      <c r="G581" s="36"/>
      <c r="H581" s="36"/>
      <c r="I581" s="36"/>
      <c r="J581" s="36"/>
      <c r="K581" s="36"/>
      <c r="L581" s="36"/>
      <c r="M581" s="36"/>
      <c r="N581" s="35"/>
      <c r="O581" s="35"/>
      <c r="P581" s="35"/>
      <c r="Q581" s="36"/>
      <c r="R581" s="36"/>
      <c r="S581" s="36"/>
      <c r="T581" s="46"/>
      <c r="U581" s="36"/>
      <c r="V581" s="35"/>
      <c r="W581" s="38" t="str">
        <f t="shared" si="8"/>
        <v/>
      </c>
    </row>
    <row r="582" spans="1:23" x14ac:dyDescent="0.35">
      <c r="A582" s="46"/>
      <c r="B582" s="36"/>
      <c r="C582" s="35"/>
      <c r="D582" s="24"/>
      <c r="E582" s="35"/>
      <c r="F582" s="35"/>
      <c r="G582" s="36"/>
      <c r="H582" s="36"/>
      <c r="I582" s="36"/>
      <c r="J582" s="36"/>
      <c r="K582" s="36"/>
      <c r="L582" s="36"/>
      <c r="M582" s="36"/>
      <c r="N582" s="35"/>
      <c r="O582" s="35"/>
      <c r="P582" s="35"/>
      <c r="Q582" s="36"/>
      <c r="R582" s="36"/>
      <c r="S582" s="36"/>
      <c r="T582" s="46"/>
      <c r="U582" s="36"/>
      <c r="V582" s="35"/>
      <c r="W582" s="38" t="str">
        <f t="shared" ref="W582:W645" si="9">IF(OR(A582="",C582=""),"",INT(A582)&amp;"|"&amp;C582)</f>
        <v/>
      </c>
    </row>
    <row r="583" spans="1:23" x14ac:dyDescent="0.35">
      <c r="A583" s="46"/>
      <c r="B583" s="36"/>
      <c r="C583" s="35"/>
      <c r="D583" s="24"/>
      <c r="E583" s="35"/>
      <c r="F583" s="35"/>
      <c r="G583" s="36"/>
      <c r="H583" s="36"/>
      <c r="I583" s="36"/>
      <c r="J583" s="36"/>
      <c r="K583" s="36"/>
      <c r="L583" s="36"/>
      <c r="M583" s="36"/>
      <c r="N583" s="35"/>
      <c r="O583" s="35"/>
      <c r="P583" s="35"/>
      <c r="Q583" s="36"/>
      <c r="R583" s="36"/>
      <c r="S583" s="36"/>
      <c r="T583" s="46"/>
      <c r="U583" s="36"/>
      <c r="V583" s="35"/>
      <c r="W583" s="38" t="str">
        <f t="shared" si="9"/>
        <v/>
      </c>
    </row>
    <row r="584" spans="1:23" x14ac:dyDescent="0.35">
      <c r="A584" s="46"/>
      <c r="B584" s="36"/>
      <c r="C584" s="35"/>
      <c r="D584" s="24"/>
      <c r="E584" s="35"/>
      <c r="F584" s="35"/>
      <c r="G584" s="36"/>
      <c r="H584" s="36"/>
      <c r="I584" s="36"/>
      <c r="J584" s="36"/>
      <c r="K584" s="36"/>
      <c r="L584" s="36"/>
      <c r="M584" s="36"/>
      <c r="N584" s="35"/>
      <c r="O584" s="35"/>
      <c r="P584" s="35"/>
      <c r="Q584" s="36"/>
      <c r="R584" s="36"/>
      <c r="S584" s="36"/>
      <c r="T584" s="46"/>
      <c r="U584" s="36"/>
      <c r="V584" s="35"/>
      <c r="W584" s="38" t="str">
        <f t="shared" si="9"/>
        <v/>
      </c>
    </row>
    <row r="585" spans="1:23" x14ac:dyDescent="0.35">
      <c r="A585" s="46"/>
      <c r="B585" s="36"/>
      <c r="C585" s="35"/>
      <c r="D585" s="24"/>
      <c r="E585" s="35"/>
      <c r="F585" s="35"/>
      <c r="G585" s="36"/>
      <c r="H585" s="36"/>
      <c r="I585" s="36"/>
      <c r="J585" s="36"/>
      <c r="K585" s="36"/>
      <c r="L585" s="36"/>
      <c r="M585" s="36"/>
      <c r="N585" s="35"/>
      <c r="O585" s="35"/>
      <c r="P585" s="35"/>
      <c r="Q585" s="36"/>
      <c r="R585" s="36"/>
      <c r="S585" s="36"/>
      <c r="T585" s="46"/>
      <c r="U585" s="36"/>
      <c r="V585" s="35"/>
      <c r="W585" s="38" t="str">
        <f t="shared" si="9"/>
        <v/>
      </c>
    </row>
    <row r="586" spans="1:23" x14ac:dyDescent="0.35">
      <c r="A586" s="46"/>
      <c r="B586" s="36"/>
      <c r="C586" s="35"/>
      <c r="D586" s="24"/>
      <c r="E586" s="35"/>
      <c r="F586" s="35"/>
      <c r="G586" s="36"/>
      <c r="H586" s="36"/>
      <c r="I586" s="36"/>
      <c r="J586" s="36"/>
      <c r="K586" s="36"/>
      <c r="L586" s="36"/>
      <c r="M586" s="36"/>
      <c r="N586" s="35"/>
      <c r="O586" s="35"/>
      <c r="P586" s="35"/>
      <c r="Q586" s="36"/>
      <c r="R586" s="36"/>
      <c r="S586" s="36"/>
      <c r="T586" s="46"/>
      <c r="U586" s="36"/>
      <c r="V586" s="35"/>
      <c r="W586" s="38" t="str">
        <f t="shared" si="9"/>
        <v/>
      </c>
    </row>
    <row r="587" spans="1:23" x14ac:dyDescent="0.35">
      <c r="A587" s="46"/>
      <c r="B587" s="36"/>
      <c r="C587" s="35"/>
      <c r="D587" s="24"/>
      <c r="E587" s="35"/>
      <c r="F587" s="35"/>
      <c r="G587" s="36"/>
      <c r="H587" s="36"/>
      <c r="I587" s="36"/>
      <c r="J587" s="36"/>
      <c r="K587" s="36"/>
      <c r="L587" s="36"/>
      <c r="M587" s="36"/>
      <c r="N587" s="35"/>
      <c r="O587" s="35"/>
      <c r="P587" s="35"/>
      <c r="Q587" s="36"/>
      <c r="R587" s="36"/>
      <c r="S587" s="36"/>
      <c r="T587" s="46"/>
      <c r="U587" s="36"/>
      <c r="V587" s="35"/>
      <c r="W587" s="38" t="str">
        <f t="shared" si="9"/>
        <v/>
      </c>
    </row>
    <row r="588" spans="1:23" x14ac:dyDescent="0.35">
      <c r="A588" s="46"/>
      <c r="B588" s="36"/>
      <c r="C588" s="35"/>
      <c r="D588" s="24"/>
      <c r="E588" s="35"/>
      <c r="F588" s="35"/>
      <c r="G588" s="36"/>
      <c r="H588" s="36"/>
      <c r="I588" s="36"/>
      <c r="J588" s="36"/>
      <c r="K588" s="36"/>
      <c r="L588" s="36"/>
      <c r="M588" s="36"/>
      <c r="N588" s="35"/>
      <c r="O588" s="35"/>
      <c r="P588" s="35"/>
      <c r="Q588" s="36"/>
      <c r="R588" s="36"/>
      <c r="S588" s="36"/>
      <c r="T588" s="46"/>
      <c r="U588" s="36"/>
      <c r="V588" s="35"/>
      <c r="W588" s="38" t="str">
        <f t="shared" si="9"/>
        <v/>
      </c>
    </row>
    <row r="589" spans="1:23" x14ac:dyDescent="0.35">
      <c r="A589" s="46"/>
      <c r="B589" s="36"/>
      <c r="C589" s="35"/>
      <c r="D589" s="24"/>
      <c r="E589" s="35"/>
      <c r="F589" s="35"/>
      <c r="G589" s="36"/>
      <c r="H589" s="36"/>
      <c r="I589" s="36"/>
      <c r="J589" s="36"/>
      <c r="K589" s="36"/>
      <c r="L589" s="36"/>
      <c r="M589" s="36"/>
      <c r="N589" s="35"/>
      <c r="O589" s="35"/>
      <c r="P589" s="35"/>
      <c r="Q589" s="36"/>
      <c r="R589" s="36"/>
      <c r="S589" s="36"/>
      <c r="T589" s="46"/>
      <c r="U589" s="36"/>
      <c r="V589" s="35"/>
      <c r="W589" s="38" t="str">
        <f t="shared" si="9"/>
        <v/>
      </c>
    </row>
    <row r="590" spans="1:23" x14ac:dyDescent="0.35">
      <c r="A590" s="46"/>
      <c r="B590" s="36"/>
      <c r="C590" s="35"/>
      <c r="D590" s="24"/>
      <c r="E590" s="35"/>
      <c r="F590" s="35"/>
      <c r="G590" s="36"/>
      <c r="H590" s="36"/>
      <c r="I590" s="36"/>
      <c r="J590" s="36"/>
      <c r="K590" s="36"/>
      <c r="L590" s="36"/>
      <c r="M590" s="36"/>
      <c r="N590" s="35"/>
      <c r="O590" s="35"/>
      <c r="P590" s="35"/>
      <c r="Q590" s="36"/>
      <c r="R590" s="36"/>
      <c r="S590" s="36"/>
      <c r="T590" s="46"/>
      <c r="U590" s="36"/>
      <c r="V590" s="35"/>
      <c r="W590" s="38" t="str">
        <f t="shared" si="9"/>
        <v/>
      </c>
    </row>
    <row r="591" spans="1:23" x14ac:dyDescent="0.35">
      <c r="A591" s="46"/>
      <c r="B591" s="36"/>
      <c r="C591" s="35"/>
      <c r="D591" s="24"/>
      <c r="E591" s="35"/>
      <c r="F591" s="35"/>
      <c r="G591" s="36"/>
      <c r="H591" s="36"/>
      <c r="I591" s="36"/>
      <c r="J591" s="36"/>
      <c r="K591" s="36"/>
      <c r="L591" s="36"/>
      <c r="M591" s="36"/>
      <c r="N591" s="35"/>
      <c r="O591" s="35"/>
      <c r="P591" s="35"/>
      <c r="Q591" s="36"/>
      <c r="R591" s="36"/>
      <c r="S591" s="36"/>
      <c r="T591" s="46"/>
      <c r="U591" s="36"/>
      <c r="V591" s="35"/>
      <c r="W591" s="38" t="str">
        <f t="shared" si="9"/>
        <v/>
      </c>
    </row>
    <row r="592" spans="1:23" x14ac:dyDescent="0.35">
      <c r="A592" s="46"/>
      <c r="B592" s="36"/>
      <c r="C592" s="35"/>
      <c r="D592" s="24"/>
      <c r="E592" s="35"/>
      <c r="F592" s="35"/>
      <c r="G592" s="36"/>
      <c r="H592" s="36"/>
      <c r="I592" s="36"/>
      <c r="J592" s="36"/>
      <c r="K592" s="36"/>
      <c r="L592" s="36"/>
      <c r="M592" s="36"/>
      <c r="N592" s="35"/>
      <c r="O592" s="35"/>
      <c r="P592" s="35"/>
      <c r="Q592" s="36"/>
      <c r="R592" s="36"/>
      <c r="S592" s="36"/>
      <c r="T592" s="46"/>
      <c r="U592" s="36"/>
      <c r="V592" s="35"/>
      <c r="W592" s="38" t="str">
        <f t="shared" si="9"/>
        <v/>
      </c>
    </row>
    <row r="593" spans="1:23" x14ac:dyDescent="0.35">
      <c r="A593" s="46"/>
      <c r="B593" s="36"/>
      <c r="C593" s="35"/>
      <c r="D593" s="24"/>
      <c r="E593" s="35"/>
      <c r="F593" s="35"/>
      <c r="G593" s="36"/>
      <c r="H593" s="36"/>
      <c r="I593" s="36"/>
      <c r="J593" s="36"/>
      <c r="K593" s="36"/>
      <c r="L593" s="36"/>
      <c r="M593" s="36"/>
      <c r="N593" s="35"/>
      <c r="O593" s="35"/>
      <c r="P593" s="35"/>
      <c r="Q593" s="36"/>
      <c r="R593" s="36"/>
      <c r="S593" s="36"/>
      <c r="T593" s="46"/>
      <c r="U593" s="36"/>
      <c r="V593" s="35"/>
      <c r="W593" s="38" t="str">
        <f t="shared" si="9"/>
        <v/>
      </c>
    </row>
    <row r="594" spans="1:23" x14ac:dyDescent="0.35">
      <c r="A594" s="46"/>
      <c r="B594" s="36"/>
      <c r="C594" s="35"/>
      <c r="D594" s="24"/>
      <c r="E594" s="35"/>
      <c r="F594" s="35"/>
      <c r="G594" s="36"/>
      <c r="H594" s="36"/>
      <c r="I594" s="36"/>
      <c r="J594" s="36"/>
      <c r="K594" s="36"/>
      <c r="L594" s="36"/>
      <c r="M594" s="36"/>
      <c r="N594" s="35"/>
      <c r="O594" s="35"/>
      <c r="P594" s="35"/>
      <c r="Q594" s="36"/>
      <c r="R594" s="36"/>
      <c r="S594" s="36"/>
      <c r="T594" s="46"/>
      <c r="U594" s="36"/>
      <c r="V594" s="35"/>
      <c r="W594" s="38" t="str">
        <f t="shared" si="9"/>
        <v/>
      </c>
    </row>
    <row r="595" spans="1:23" x14ac:dyDescent="0.35">
      <c r="A595" s="46"/>
      <c r="B595" s="36"/>
      <c r="C595" s="35"/>
      <c r="D595" s="24"/>
      <c r="E595" s="35"/>
      <c r="F595" s="35"/>
      <c r="G595" s="36"/>
      <c r="H595" s="36"/>
      <c r="I595" s="36"/>
      <c r="J595" s="36"/>
      <c r="K595" s="36"/>
      <c r="L595" s="36"/>
      <c r="M595" s="36"/>
      <c r="N595" s="35"/>
      <c r="O595" s="35"/>
      <c r="P595" s="35"/>
      <c r="Q595" s="36"/>
      <c r="R595" s="36"/>
      <c r="S595" s="36"/>
      <c r="T595" s="46"/>
      <c r="U595" s="36"/>
      <c r="V595" s="35"/>
      <c r="W595" s="38" t="str">
        <f t="shared" si="9"/>
        <v/>
      </c>
    </row>
    <row r="596" spans="1:23" x14ac:dyDescent="0.35">
      <c r="A596" s="46"/>
      <c r="B596" s="36"/>
      <c r="C596" s="35"/>
      <c r="D596" s="24"/>
      <c r="E596" s="35"/>
      <c r="F596" s="35"/>
      <c r="G596" s="36"/>
      <c r="H596" s="36"/>
      <c r="I596" s="36"/>
      <c r="J596" s="36"/>
      <c r="K596" s="36"/>
      <c r="L596" s="36"/>
      <c r="M596" s="36"/>
      <c r="N596" s="35"/>
      <c r="O596" s="35"/>
      <c r="P596" s="35"/>
      <c r="Q596" s="36"/>
      <c r="R596" s="36"/>
      <c r="S596" s="36"/>
      <c r="T596" s="46"/>
      <c r="U596" s="36"/>
      <c r="V596" s="35"/>
      <c r="W596" s="38" t="str">
        <f t="shared" si="9"/>
        <v/>
      </c>
    </row>
    <row r="597" spans="1:23" x14ac:dyDescent="0.35">
      <c r="A597" s="46"/>
      <c r="B597" s="36"/>
      <c r="C597" s="35"/>
      <c r="D597" s="24"/>
      <c r="E597" s="35"/>
      <c r="F597" s="35"/>
      <c r="G597" s="36"/>
      <c r="H597" s="36"/>
      <c r="I597" s="36"/>
      <c r="J597" s="36"/>
      <c r="K597" s="36"/>
      <c r="L597" s="36"/>
      <c r="M597" s="36"/>
      <c r="N597" s="35"/>
      <c r="O597" s="35"/>
      <c r="P597" s="35"/>
      <c r="Q597" s="36"/>
      <c r="R597" s="36"/>
      <c r="S597" s="36"/>
      <c r="T597" s="46"/>
      <c r="U597" s="36"/>
      <c r="V597" s="35"/>
      <c r="W597" s="38" t="str">
        <f t="shared" si="9"/>
        <v/>
      </c>
    </row>
    <row r="598" spans="1:23" x14ac:dyDescent="0.35">
      <c r="A598" s="46"/>
      <c r="B598" s="36"/>
      <c r="C598" s="35"/>
      <c r="D598" s="24"/>
      <c r="E598" s="35"/>
      <c r="F598" s="35"/>
      <c r="G598" s="36"/>
      <c r="H598" s="36"/>
      <c r="I598" s="36"/>
      <c r="J598" s="36"/>
      <c r="K598" s="36"/>
      <c r="L598" s="36"/>
      <c r="M598" s="36"/>
      <c r="N598" s="35"/>
      <c r="O598" s="35"/>
      <c r="P598" s="35"/>
      <c r="Q598" s="36"/>
      <c r="R598" s="36"/>
      <c r="S598" s="36"/>
      <c r="T598" s="46"/>
      <c r="U598" s="36"/>
      <c r="V598" s="35"/>
      <c r="W598" s="38" t="str">
        <f t="shared" si="9"/>
        <v/>
      </c>
    </row>
    <row r="599" spans="1:23" x14ac:dyDescent="0.35">
      <c r="A599" s="46"/>
      <c r="B599" s="36"/>
      <c r="C599" s="35"/>
      <c r="D599" s="24"/>
      <c r="E599" s="35"/>
      <c r="F599" s="35"/>
      <c r="G599" s="36"/>
      <c r="H599" s="36"/>
      <c r="I599" s="36"/>
      <c r="J599" s="36"/>
      <c r="K599" s="36"/>
      <c r="L599" s="36"/>
      <c r="M599" s="36"/>
      <c r="N599" s="35"/>
      <c r="O599" s="35"/>
      <c r="P599" s="35"/>
      <c r="Q599" s="36"/>
      <c r="R599" s="36"/>
      <c r="S599" s="36"/>
      <c r="T599" s="46"/>
      <c r="U599" s="36"/>
      <c r="V599" s="35"/>
      <c r="W599" s="38" t="str">
        <f t="shared" si="9"/>
        <v/>
      </c>
    </row>
    <row r="600" spans="1:23" x14ac:dyDescent="0.35">
      <c r="A600" s="46"/>
      <c r="B600" s="36"/>
      <c r="C600" s="35"/>
      <c r="D600" s="24"/>
      <c r="E600" s="35"/>
      <c r="F600" s="35"/>
      <c r="G600" s="36"/>
      <c r="H600" s="36"/>
      <c r="I600" s="36"/>
      <c r="J600" s="36"/>
      <c r="K600" s="36"/>
      <c r="L600" s="36"/>
      <c r="M600" s="36"/>
      <c r="N600" s="35"/>
      <c r="O600" s="35"/>
      <c r="P600" s="35"/>
      <c r="Q600" s="36"/>
      <c r="R600" s="36"/>
      <c r="S600" s="36"/>
      <c r="T600" s="46"/>
      <c r="U600" s="36"/>
      <c r="V600" s="35"/>
      <c r="W600" s="38" t="str">
        <f t="shared" si="9"/>
        <v/>
      </c>
    </row>
    <row r="601" spans="1:23" x14ac:dyDescent="0.35">
      <c r="A601" s="46"/>
      <c r="B601" s="36"/>
      <c r="C601" s="35"/>
      <c r="D601" s="24"/>
      <c r="E601" s="35"/>
      <c r="F601" s="35"/>
      <c r="G601" s="36"/>
      <c r="H601" s="36"/>
      <c r="I601" s="36"/>
      <c r="J601" s="36"/>
      <c r="K601" s="36"/>
      <c r="L601" s="36"/>
      <c r="M601" s="36"/>
      <c r="N601" s="35"/>
      <c r="O601" s="35"/>
      <c r="P601" s="35"/>
      <c r="Q601" s="36"/>
      <c r="R601" s="36"/>
      <c r="S601" s="36"/>
      <c r="T601" s="46"/>
      <c r="U601" s="36"/>
      <c r="V601" s="35"/>
      <c r="W601" s="38" t="str">
        <f t="shared" si="9"/>
        <v/>
      </c>
    </row>
    <row r="602" spans="1:23" x14ac:dyDescent="0.35">
      <c r="A602" s="46"/>
      <c r="B602" s="36"/>
      <c r="C602" s="35"/>
      <c r="D602" s="24"/>
      <c r="E602" s="35"/>
      <c r="F602" s="35"/>
      <c r="G602" s="36"/>
      <c r="H602" s="36"/>
      <c r="I602" s="36"/>
      <c r="J602" s="36"/>
      <c r="K602" s="36"/>
      <c r="L602" s="36"/>
      <c r="M602" s="36"/>
      <c r="N602" s="35"/>
      <c r="O602" s="35"/>
      <c r="P602" s="35"/>
      <c r="Q602" s="36"/>
      <c r="R602" s="36"/>
      <c r="S602" s="36"/>
      <c r="T602" s="46"/>
      <c r="U602" s="36"/>
      <c r="V602" s="35"/>
      <c r="W602" s="38" t="str">
        <f t="shared" si="9"/>
        <v/>
      </c>
    </row>
    <row r="603" spans="1:23" x14ac:dyDescent="0.35">
      <c r="A603" s="46"/>
      <c r="B603" s="36"/>
      <c r="C603" s="35"/>
      <c r="D603" s="24"/>
      <c r="E603" s="35"/>
      <c r="F603" s="35"/>
      <c r="G603" s="36"/>
      <c r="H603" s="36"/>
      <c r="I603" s="36"/>
      <c r="J603" s="36"/>
      <c r="K603" s="36"/>
      <c r="L603" s="36"/>
      <c r="M603" s="36"/>
      <c r="N603" s="35"/>
      <c r="O603" s="35"/>
      <c r="P603" s="35"/>
      <c r="Q603" s="36"/>
      <c r="R603" s="36"/>
      <c r="S603" s="36"/>
      <c r="T603" s="46"/>
      <c r="U603" s="36"/>
      <c r="V603" s="35"/>
      <c r="W603" s="38" t="str">
        <f t="shared" si="9"/>
        <v/>
      </c>
    </row>
    <row r="604" spans="1:23" x14ac:dyDescent="0.35">
      <c r="A604" s="46"/>
      <c r="B604" s="36"/>
      <c r="C604" s="35"/>
      <c r="D604" s="24"/>
      <c r="E604" s="35"/>
      <c r="F604" s="35"/>
      <c r="G604" s="36"/>
      <c r="H604" s="36"/>
      <c r="I604" s="36"/>
      <c r="J604" s="36"/>
      <c r="K604" s="36"/>
      <c r="L604" s="36"/>
      <c r="M604" s="36"/>
      <c r="N604" s="35"/>
      <c r="O604" s="35"/>
      <c r="P604" s="35"/>
      <c r="Q604" s="36"/>
      <c r="R604" s="36"/>
      <c r="S604" s="36"/>
      <c r="T604" s="46"/>
      <c r="U604" s="36"/>
      <c r="V604" s="35"/>
      <c r="W604" s="38" t="str">
        <f t="shared" si="9"/>
        <v/>
      </c>
    </row>
    <row r="605" spans="1:23" x14ac:dyDescent="0.35">
      <c r="A605" s="46"/>
      <c r="B605" s="36"/>
      <c r="C605" s="35"/>
      <c r="D605" s="24"/>
      <c r="E605" s="35"/>
      <c r="F605" s="35"/>
      <c r="G605" s="36"/>
      <c r="H605" s="36"/>
      <c r="I605" s="36"/>
      <c r="J605" s="36"/>
      <c r="K605" s="36"/>
      <c r="L605" s="36"/>
      <c r="M605" s="36"/>
      <c r="N605" s="35"/>
      <c r="O605" s="35"/>
      <c r="P605" s="35"/>
      <c r="Q605" s="36"/>
      <c r="R605" s="36"/>
      <c r="S605" s="36"/>
      <c r="T605" s="46"/>
      <c r="U605" s="36"/>
      <c r="V605" s="35"/>
      <c r="W605" s="38" t="str">
        <f t="shared" si="9"/>
        <v/>
      </c>
    </row>
    <row r="606" spans="1:23" x14ac:dyDescent="0.35">
      <c r="A606" s="46"/>
      <c r="B606" s="36"/>
      <c r="C606" s="35"/>
      <c r="D606" s="24"/>
      <c r="E606" s="35"/>
      <c r="F606" s="35"/>
      <c r="G606" s="36"/>
      <c r="H606" s="36"/>
      <c r="I606" s="36"/>
      <c r="J606" s="36"/>
      <c r="K606" s="36"/>
      <c r="L606" s="36"/>
      <c r="M606" s="36"/>
      <c r="N606" s="35"/>
      <c r="O606" s="35"/>
      <c r="P606" s="35"/>
      <c r="Q606" s="36"/>
      <c r="R606" s="36"/>
      <c r="S606" s="36"/>
      <c r="T606" s="46"/>
      <c r="U606" s="36"/>
      <c r="V606" s="35"/>
      <c r="W606" s="38" t="str">
        <f t="shared" si="9"/>
        <v/>
      </c>
    </row>
    <row r="607" spans="1:23" x14ac:dyDescent="0.35">
      <c r="A607" s="46"/>
      <c r="B607" s="36"/>
      <c r="C607" s="35"/>
      <c r="D607" s="24"/>
      <c r="E607" s="35"/>
      <c r="F607" s="35"/>
      <c r="G607" s="36"/>
      <c r="H607" s="36"/>
      <c r="I607" s="36"/>
      <c r="J607" s="36"/>
      <c r="K607" s="36"/>
      <c r="L607" s="36"/>
      <c r="M607" s="36"/>
      <c r="N607" s="35"/>
      <c r="O607" s="35"/>
      <c r="P607" s="35"/>
      <c r="Q607" s="36"/>
      <c r="R607" s="36"/>
      <c r="S607" s="36"/>
      <c r="T607" s="46"/>
      <c r="U607" s="36"/>
      <c r="V607" s="35"/>
      <c r="W607" s="38" t="str">
        <f t="shared" si="9"/>
        <v/>
      </c>
    </row>
    <row r="608" spans="1:23" x14ac:dyDescent="0.35">
      <c r="A608" s="46"/>
      <c r="B608" s="36"/>
      <c r="C608" s="35"/>
      <c r="D608" s="24"/>
      <c r="E608" s="35"/>
      <c r="F608" s="35"/>
      <c r="G608" s="36"/>
      <c r="H608" s="36"/>
      <c r="I608" s="36"/>
      <c r="J608" s="36"/>
      <c r="K608" s="36"/>
      <c r="L608" s="36"/>
      <c r="M608" s="36"/>
      <c r="N608" s="35"/>
      <c r="O608" s="35"/>
      <c r="P608" s="35"/>
      <c r="Q608" s="36"/>
      <c r="R608" s="36"/>
      <c r="S608" s="36"/>
      <c r="T608" s="46"/>
      <c r="U608" s="36"/>
      <c r="V608" s="35"/>
      <c r="W608" s="38" t="str">
        <f t="shared" si="9"/>
        <v/>
      </c>
    </row>
    <row r="609" spans="1:23" x14ac:dyDescent="0.35">
      <c r="A609" s="46"/>
      <c r="B609" s="36"/>
      <c r="C609" s="35"/>
      <c r="D609" s="24"/>
      <c r="E609" s="35"/>
      <c r="F609" s="35"/>
      <c r="G609" s="36"/>
      <c r="H609" s="36"/>
      <c r="I609" s="36"/>
      <c r="J609" s="36"/>
      <c r="K609" s="36"/>
      <c r="L609" s="36"/>
      <c r="M609" s="36"/>
      <c r="N609" s="35"/>
      <c r="O609" s="35"/>
      <c r="P609" s="35"/>
      <c r="Q609" s="36"/>
      <c r="R609" s="36"/>
      <c r="S609" s="36"/>
      <c r="T609" s="46"/>
      <c r="U609" s="36"/>
      <c r="V609" s="35"/>
      <c r="W609" s="38" t="str">
        <f t="shared" si="9"/>
        <v/>
      </c>
    </row>
    <row r="610" spans="1:23" x14ac:dyDescent="0.35">
      <c r="A610" s="46"/>
      <c r="B610" s="36"/>
      <c r="C610" s="35"/>
      <c r="D610" s="24"/>
      <c r="E610" s="35"/>
      <c r="F610" s="35"/>
      <c r="G610" s="36"/>
      <c r="H610" s="36"/>
      <c r="I610" s="36"/>
      <c r="J610" s="36"/>
      <c r="K610" s="36"/>
      <c r="L610" s="36"/>
      <c r="M610" s="36"/>
      <c r="N610" s="35"/>
      <c r="O610" s="35"/>
      <c r="P610" s="35"/>
      <c r="Q610" s="36"/>
      <c r="R610" s="36"/>
      <c r="S610" s="36"/>
      <c r="T610" s="46"/>
      <c r="U610" s="36"/>
      <c r="V610" s="35"/>
      <c r="W610" s="38" t="str">
        <f t="shared" si="9"/>
        <v/>
      </c>
    </row>
    <row r="611" spans="1:23" x14ac:dyDescent="0.35">
      <c r="A611" s="46"/>
      <c r="B611" s="36"/>
      <c r="C611" s="35"/>
      <c r="D611" s="24"/>
      <c r="E611" s="35"/>
      <c r="F611" s="35"/>
      <c r="G611" s="36"/>
      <c r="H611" s="36"/>
      <c r="I611" s="36"/>
      <c r="J611" s="36"/>
      <c r="K611" s="36"/>
      <c r="L611" s="36"/>
      <c r="M611" s="36"/>
      <c r="N611" s="35"/>
      <c r="O611" s="35"/>
      <c r="P611" s="35"/>
      <c r="Q611" s="36"/>
      <c r="R611" s="36"/>
      <c r="S611" s="36"/>
      <c r="T611" s="46"/>
      <c r="U611" s="36"/>
      <c r="V611" s="35"/>
      <c r="W611" s="38" t="str">
        <f t="shared" si="9"/>
        <v/>
      </c>
    </row>
    <row r="612" spans="1:23" x14ac:dyDescent="0.35">
      <c r="A612" s="46"/>
      <c r="B612" s="36"/>
      <c r="C612" s="35"/>
      <c r="D612" s="24"/>
      <c r="E612" s="35"/>
      <c r="F612" s="35"/>
      <c r="G612" s="36"/>
      <c r="H612" s="36"/>
      <c r="I612" s="36"/>
      <c r="J612" s="36"/>
      <c r="K612" s="36"/>
      <c r="L612" s="36"/>
      <c r="M612" s="36"/>
      <c r="N612" s="35"/>
      <c r="O612" s="35"/>
      <c r="P612" s="35"/>
      <c r="Q612" s="36"/>
      <c r="R612" s="36"/>
      <c r="S612" s="36"/>
      <c r="T612" s="46"/>
      <c r="U612" s="36"/>
      <c r="V612" s="35"/>
      <c r="W612" s="38" t="str">
        <f t="shared" si="9"/>
        <v/>
      </c>
    </row>
    <row r="613" spans="1:23" x14ac:dyDescent="0.35">
      <c r="A613" s="46"/>
      <c r="B613" s="36"/>
      <c r="C613" s="35"/>
      <c r="D613" s="24"/>
      <c r="E613" s="35"/>
      <c r="F613" s="35"/>
      <c r="G613" s="36"/>
      <c r="H613" s="36"/>
      <c r="I613" s="36"/>
      <c r="J613" s="36"/>
      <c r="K613" s="36"/>
      <c r="L613" s="36"/>
      <c r="M613" s="36"/>
      <c r="N613" s="35"/>
      <c r="O613" s="35"/>
      <c r="P613" s="35"/>
      <c r="Q613" s="36"/>
      <c r="R613" s="36"/>
      <c r="S613" s="36"/>
      <c r="T613" s="46"/>
      <c r="U613" s="36"/>
      <c r="V613" s="35"/>
      <c r="W613" s="38" t="str">
        <f t="shared" si="9"/>
        <v/>
      </c>
    </row>
    <row r="614" spans="1:23" x14ac:dyDescent="0.35">
      <c r="A614" s="46"/>
      <c r="B614" s="36"/>
      <c r="C614" s="35"/>
      <c r="D614" s="24"/>
      <c r="E614" s="35"/>
      <c r="F614" s="35"/>
      <c r="G614" s="36"/>
      <c r="H614" s="36"/>
      <c r="I614" s="36"/>
      <c r="J614" s="36"/>
      <c r="K614" s="36"/>
      <c r="L614" s="36"/>
      <c r="M614" s="36"/>
      <c r="N614" s="35"/>
      <c r="O614" s="35"/>
      <c r="P614" s="35"/>
      <c r="Q614" s="36"/>
      <c r="R614" s="36"/>
      <c r="S614" s="36"/>
      <c r="T614" s="46"/>
      <c r="U614" s="36"/>
      <c r="V614" s="35"/>
      <c r="W614" s="38" t="str">
        <f t="shared" si="9"/>
        <v/>
      </c>
    </row>
    <row r="615" spans="1:23" x14ac:dyDescent="0.35">
      <c r="A615" s="46"/>
      <c r="B615" s="36"/>
      <c r="C615" s="35"/>
      <c r="D615" s="24"/>
      <c r="E615" s="35"/>
      <c r="F615" s="35"/>
      <c r="G615" s="36"/>
      <c r="H615" s="36"/>
      <c r="I615" s="36"/>
      <c r="J615" s="36"/>
      <c r="K615" s="36"/>
      <c r="L615" s="36"/>
      <c r="M615" s="36"/>
      <c r="N615" s="35"/>
      <c r="O615" s="35"/>
      <c r="P615" s="35"/>
      <c r="Q615" s="36"/>
      <c r="R615" s="36"/>
      <c r="S615" s="36"/>
      <c r="T615" s="46"/>
      <c r="U615" s="36"/>
      <c r="V615" s="35"/>
      <c r="W615" s="38" t="str">
        <f t="shared" si="9"/>
        <v/>
      </c>
    </row>
    <row r="616" spans="1:23" x14ac:dyDescent="0.35">
      <c r="A616" s="46"/>
      <c r="B616" s="36"/>
      <c r="C616" s="35"/>
      <c r="D616" s="24"/>
      <c r="E616" s="35"/>
      <c r="F616" s="35"/>
      <c r="G616" s="36"/>
      <c r="H616" s="36"/>
      <c r="I616" s="36"/>
      <c r="J616" s="36"/>
      <c r="K616" s="36"/>
      <c r="L616" s="36"/>
      <c r="M616" s="36"/>
      <c r="N616" s="35"/>
      <c r="O616" s="35"/>
      <c r="P616" s="35"/>
      <c r="Q616" s="36"/>
      <c r="R616" s="36"/>
      <c r="S616" s="36"/>
      <c r="T616" s="46"/>
      <c r="U616" s="36"/>
      <c r="V616" s="35"/>
      <c r="W616" s="38" t="str">
        <f t="shared" si="9"/>
        <v/>
      </c>
    </row>
    <row r="617" spans="1:23" x14ac:dyDescent="0.35">
      <c r="A617" s="46"/>
      <c r="B617" s="36"/>
      <c r="C617" s="35"/>
      <c r="D617" s="24"/>
      <c r="E617" s="35"/>
      <c r="F617" s="35"/>
      <c r="G617" s="36"/>
      <c r="H617" s="36"/>
      <c r="I617" s="36"/>
      <c r="J617" s="36"/>
      <c r="K617" s="36"/>
      <c r="L617" s="36"/>
      <c r="M617" s="36"/>
      <c r="N617" s="35"/>
      <c r="O617" s="35"/>
      <c r="P617" s="35"/>
      <c r="Q617" s="36"/>
      <c r="R617" s="36"/>
      <c r="S617" s="36"/>
      <c r="T617" s="46"/>
      <c r="U617" s="36"/>
      <c r="V617" s="35"/>
      <c r="W617" s="38" t="str">
        <f t="shared" si="9"/>
        <v/>
      </c>
    </row>
    <row r="618" spans="1:23" x14ac:dyDescent="0.35">
      <c r="A618" s="46"/>
      <c r="B618" s="36"/>
      <c r="C618" s="35"/>
      <c r="D618" s="24"/>
      <c r="E618" s="35"/>
      <c r="F618" s="35"/>
      <c r="G618" s="36"/>
      <c r="H618" s="36"/>
      <c r="I618" s="36"/>
      <c r="J618" s="36"/>
      <c r="K618" s="36"/>
      <c r="L618" s="36"/>
      <c r="M618" s="36"/>
      <c r="N618" s="35"/>
      <c r="O618" s="35"/>
      <c r="P618" s="35"/>
      <c r="Q618" s="36"/>
      <c r="R618" s="36"/>
      <c r="S618" s="36"/>
      <c r="T618" s="46"/>
      <c r="U618" s="36"/>
      <c r="V618" s="35"/>
      <c r="W618" s="38" t="str">
        <f t="shared" si="9"/>
        <v/>
      </c>
    </row>
    <row r="619" spans="1:23" x14ac:dyDescent="0.35">
      <c r="A619" s="46"/>
      <c r="B619" s="36"/>
      <c r="C619" s="35"/>
      <c r="D619" s="24"/>
      <c r="E619" s="35"/>
      <c r="F619" s="35"/>
      <c r="G619" s="36"/>
      <c r="H619" s="36"/>
      <c r="I619" s="36"/>
      <c r="J619" s="36"/>
      <c r="K619" s="36"/>
      <c r="L619" s="36"/>
      <c r="M619" s="36"/>
      <c r="N619" s="35"/>
      <c r="O619" s="35"/>
      <c r="P619" s="35"/>
      <c r="Q619" s="36"/>
      <c r="R619" s="36"/>
      <c r="S619" s="36"/>
      <c r="T619" s="46"/>
      <c r="U619" s="36"/>
      <c r="V619" s="35"/>
      <c r="W619" s="38" t="str">
        <f t="shared" si="9"/>
        <v/>
      </c>
    </row>
    <row r="620" spans="1:23" x14ac:dyDescent="0.35">
      <c r="A620" s="46"/>
      <c r="B620" s="36"/>
      <c r="C620" s="35"/>
      <c r="D620" s="24"/>
      <c r="E620" s="35"/>
      <c r="F620" s="35"/>
      <c r="G620" s="36"/>
      <c r="H620" s="36"/>
      <c r="I620" s="36"/>
      <c r="J620" s="36"/>
      <c r="K620" s="36"/>
      <c r="L620" s="36"/>
      <c r="M620" s="36"/>
      <c r="N620" s="35"/>
      <c r="O620" s="35"/>
      <c r="P620" s="35"/>
      <c r="Q620" s="36"/>
      <c r="R620" s="36"/>
      <c r="S620" s="36"/>
      <c r="T620" s="46"/>
      <c r="U620" s="36"/>
      <c r="V620" s="35"/>
      <c r="W620" s="38" t="str">
        <f t="shared" si="9"/>
        <v/>
      </c>
    </row>
    <row r="621" spans="1:23" x14ac:dyDescent="0.35">
      <c r="A621" s="46"/>
      <c r="B621" s="36"/>
      <c r="C621" s="35"/>
      <c r="D621" s="24"/>
      <c r="E621" s="35"/>
      <c r="F621" s="35"/>
      <c r="G621" s="36"/>
      <c r="H621" s="36"/>
      <c r="I621" s="36"/>
      <c r="J621" s="36"/>
      <c r="K621" s="36"/>
      <c r="L621" s="36"/>
      <c r="M621" s="36"/>
      <c r="N621" s="35"/>
      <c r="O621" s="35"/>
      <c r="P621" s="35"/>
      <c r="Q621" s="36"/>
      <c r="R621" s="36"/>
      <c r="S621" s="36"/>
      <c r="T621" s="46"/>
      <c r="U621" s="36"/>
      <c r="V621" s="35"/>
      <c r="W621" s="38" t="str">
        <f t="shared" si="9"/>
        <v/>
      </c>
    </row>
    <row r="622" spans="1:23" x14ac:dyDescent="0.35">
      <c r="A622" s="46"/>
      <c r="B622" s="36"/>
      <c r="C622" s="35"/>
      <c r="D622" s="24"/>
      <c r="E622" s="35"/>
      <c r="F622" s="35"/>
      <c r="G622" s="36"/>
      <c r="H622" s="36"/>
      <c r="I622" s="36"/>
      <c r="J622" s="36"/>
      <c r="K622" s="36"/>
      <c r="L622" s="36"/>
      <c r="M622" s="36"/>
      <c r="N622" s="35"/>
      <c r="O622" s="35"/>
      <c r="P622" s="35"/>
      <c r="Q622" s="36"/>
      <c r="R622" s="36"/>
      <c r="S622" s="36"/>
      <c r="T622" s="46"/>
      <c r="U622" s="36"/>
      <c r="V622" s="35"/>
      <c r="W622" s="38" t="str">
        <f t="shared" si="9"/>
        <v/>
      </c>
    </row>
    <row r="623" spans="1:23" x14ac:dyDescent="0.35">
      <c r="A623" s="46"/>
      <c r="B623" s="36"/>
      <c r="C623" s="35"/>
      <c r="D623" s="24"/>
      <c r="E623" s="35"/>
      <c r="F623" s="35"/>
      <c r="G623" s="36"/>
      <c r="H623" s="36"/>
      <c r="I623" s="36"/>
      <c r="J623" s="36"/>
      <c r="K623" s="36"/>
      <c r="L623" s="36"/>
      <c r="M623" s="36"/>
      <c r="N623" s="35"/>
      <c r="O623" s="35"/>
      <c r="P623" s="35"/>
      <c r="Q623" s="36"/>
      <c r="R623" s="36"/>
      <c r="S623" s="36"/>
      <c r="T623" s="46"/>
      <c r="U623" s="36"/>
      <c r="V623" s="35"/>
      <c r="W623" s="38" t="str">
        <f t="shared" si="9"/>
        <v/>
      </c>
    </row>
    <row r="624" spans="1:23" x14ac:dyDescent="0.35">
      <c r="A624" s="46"/>
      <c r="B624" s="36"/>
      <c r="C624" s="35"/>
      <c r="D624" s="24"/>
      <c r="E624" s="35"/>
      <c r="F624" s="35"/>
      <c r="G624" s="36"/>
      <c r="H624" s="36"/>
      <c r="I624" s="36"/>
      <c r="J624" s="36"/>
      <c r="K624" s="36"/>
      <c r="L624" s="36"/>
      <c r="M624" s="36"/>
      <c r="N624" s="35"/>
      <c r="O624" s="35"/>
      <c r="P624" s="35"/>
      <c r="Q624" s="36"/>
      <c r="R624" s="36"/>
      <c r="S624" s="36"/>
      <c r="T624" s="46"/>
      <c r="U624" s="36"/>
      <c r="V624" s="35"/>
      <c r="W624" s="38" t="str">
        <f t="shared" si="9"/>
        <v/>
      </c>
    </row>
    <row r="625" spans="1:23" x14ac:dyDescent="0.35">
      <c r="A625" s="46"/>
      <c r="B625" s="36"/>
      <c r="C625" s="35"/>
      <c r="D625" s="24"/>
      <c r="E625" s="35"/>
      <c r="F625" s="35"/>
      <c r="G625" s="36"/>
      <c r="H625" s="36"/>
      <c r="I625" s="36"/>
      <c r="J625" s="36"/>
      <c r="K625" s="36"/>
      <c r="L625" s="36"/>
      <c r="M625" s="36"/>
      <c r="N625" s="35"/>
      <c r="O625" s="35"/>
      <c r="P625" s="35"/>
      <c r="Q625" s="36"/>
      <c r="R625" s="36"/>
      <c r="S625" s="36"/>
      <c r="T625" s="46"/>
      <c r="U625" s="36"/>
      <c r="V625" s="35"/>
      <c r="W625" s="38" t="str">
        <f t="shared" si="9"/>
        <v/>
      </c>
    </row>
    <row r="626" spans="1:23" x14ac:dyDescent="0.35">
      <c r="A626" s="46"/>
      <c r="B626" s="36"/>
      <c r="C626" s="35"/>
      <c r="D626" s="24"/>
      <c r="E626" s="35"/>
      <c r="F626" s="35"/>
      <c r="G626" s="36"/>
      <c r="H626" s="36"/>
      <c r="I626" s="36"/>
      <c r="J626" s="36"/>
      <c r="K626" s="36"/>
      <c r="L626" s="36"/>
      <c r="M626" s="36"/>
      <c r="N626" s="35"/>
      <c r="O626" s="35"/>
      <c r="P626" s="35"/>
      <c r="Q626" s="36"/>
      <c r="R626" s="36"/>
      <c r="S626" s="36"/>
      <c r="T626" s="46"/>
      <c r="U626" s="36"/>
      <c r="V626" s="35"/>
      <c r="W626" s="38" t="str">
        <f t="shared" si="9"/>
        <v/>
      </c>
    </row>
    <row r="627" spans="1:23" x14ac:dyDescent="0.35">
      <c r="A627" s="46"/>
      <c r="B627" s="36"/>
      <c r="C627" s="35"/>
      <c r="D627" s="24"/>
      <c r="E627" s="35"/>
      <c r="F627" s="35"/>
      <c r="G627" s="36"/>
      <c r="H627" s="36"/>
      <c r="I627" s="36"/>
      <c r="J627" s="36"/>
      <c r="K627" s="36"/>
      <c r="L627" s="36"/>
      <c r="M627" s="36"/>
      <c r="N627" s="35"/>
      <c r="O627" s="35"/>
      <c r="P627" s="35"/>
      <c r="Q627" s="36"/>
      <c r="R627" s="36"/>
      <c r="S627" s="36"/>
      <c r="T627" s="46"/>
      <c r="U627" s="36"/>
      <c r="V627" s="35"/>
      <c r="W627" s="38" t="str">
        <f t="shared" si="9"/>
        <v/>
      </c>
    </row>
    <row r="628" spans="1:23" x14ac:dyDescent="0.35">
      <c r="A628" s="46"/>
      <c r="B628" s="36"/>
      <c r="C628" s="35"/>
      <c r="D628" s="24"/>
      <c r="E628" s="35"/>
      <c r="F628" s="35"/>
      <c r="G628" s="36"/>
      <c r="H628" s="36"/>
      <c r="I628" s="36"/>
      <c r="J628" s="36"/>
      <c r="K628" s="36"/>
      <c r="L628" s="36"/>
      <c r="M628" s="36"/>
      <c r="N628" s="35"/>
      <c r="O628" s="35"/>
      <c r="P628" s="35"/>
      <c r="Q628" s="36"/>
      <c r="R628" s="36"/>
      <c r="S628" s="36"/>
      <c r="T628" s="46"/>
      <c r="U628" s="36"/>
      <c r="V628" s="35"/>
      <c r="W628" s="38" t="str">
        <f t="shared" si="9"/>
        <v/>
      </c>
    </row>
    <row r="629" spans="1:23" x14ac:dyDescent="0.35">
      <c r="A629" s="46"/>
      <c r="B629" s="36"/>
      <c r="C629" s="35"/>
      <c r="D629" s="24"/>
      <c r="E629" s="35"/>
      <c r="F629" s="35"/>
      <c r="G629" s="36"/>
      <c r="H629" s="36"/>
      <c r="I629" s="36"/>
      <c r="J629" s="36"/>
      <c r="K629" s="36"/>
      <c r="L629" s="36"/>
      <c r="M629" s="36"/>
      <c r="N629" s="35"/>
      <c r="O629" s="35"/>
      <c r="P629" s="35"/>
      <c r="Q629" s="36"/>
      <c r="R629" s="36"/>
      <c r="S629" s="36"/>
      <c r="T629" s="46"/>
      <c r="U629" s="36"/>
      <c r="V629" s="35"/>
      <c r="W629" s="38" t="str">
        <f t="shared" si="9"/>
        <v/>
      </c>
    </row>
    <row r="630" spans="1:23" x14ac:dyDescent="0.35">
      <c r="A630" s="46"/>
      <c r="B630" s="36"/>
      <c r="C630" s="35"/>
      <c r="D630" s="24"/>
      <c r="E630" s="35"/>
      <c r="F630" s="35"/>
      <c r="G630" s="36"/>
      <c r="H630" s="36"/>
      <c r="I630" s="36"/>
      <c r="J630" s="36"/>
      <c r="K630" s="36"/>
      <c r="L630" s="36"/>
      <c r="M630" s="36"/>
      <c r="N630" s="35"/>
      <c r="O630" s="35"/>
      <c r="P630" s="35"/>
      <c r="Q630" s="36"/>
      <c r="R630" s="36"/>
      <c r="S630" s="36"/>
      <c r="T630" s="46"/>
      <c r="U630" s="36"/>
      <c r="V630" s="35"/>
      <c r="W630" s="38" t="str">
        <f t="shared" si="9"/>
        <v/>
      </c>
    </row>
    <row r="631" spans="1:23" x14ac:dyDescent="0.35">
      <c r="A631" s="46"/>
      <c r="B631" s="36"/>
      <c r="C631" s="35"/>
      <c r="D631" s="24"/>
      <c r="E631" s="35"/>
      <c r="F631" s="35"/>
      <c r="G631" s="36"/>
      <c r="H631" s="36"/>
      <c r="I631" s="36"/>
      <c r="J631" s="36"/>
      <c r="K631" s="36"/>
      <c r="L631" s="36"/>
      <c r="M631" s="36"/>
      <c r="N631" s="35"/>
      <c r="O631" s="35"/>
      <c r="P631" s="35"/>
      <c r="Q631" s="36"/>
      <c r="R631" s="36"/>
      <c r="S631" s="36"/>
      <c r="T631" s="46"/>
      <c r="U631" s="36"/>
      <c r="V631" s="35"/>
      <c r="W631" s="38" t="str">
        <f t="shared" si="9"/>
        <v/>
      </c>
    </row>
    <row r="632" spans="1:23" x14ac:dyDescent="0.35">
      <c r="A632" s="46"/>
      <c r="B632" s="36"/>
      <c r="C632" s="35"/>
      <c r="D632" s="24"/>
      <c r="E632" s="35"/>
      <c r="F632" s="35"/>
      <c r="G632" s="36"/>
      <c r="H632" s="36"/>
      <c r="I632" s="36"/>
      <c r="J632" s="36"/>
      <c r="K632" s="36"/>
      <c r="L632" s="36"/>
      <c r="M632" s="36"/>
      <c r="N632" s="35"/>
      <c r="O632" s="35"/>
      <c r="P632" s="35"/>
      <c r="Q632" s="36"/>
      <c r="R632" s="36"/>
      <c r="S632" s="36"/>
      <c r="T632" s="46"/>
      <c r="U632" s="36"/>
      <c r="V632" s="35"/>
      <c r="W632" s="38" t="str">
        <f t="shared" si="9"/>
        <v/>
      </c>
    </row>
    <row r="633" spans="1:23" x14ac:dyDescent="0.35">
      <c r="A633" s="46"/>
      <c r="B633" s="36"/>
      <c r="C633" s="35"/>
      <c r="D633" s="24"/>
      <c r="E633" s="35"/>
      <c r="F633" s="35"/>
      <c r="G633" s="36"/>
      <c r="H633" s="36"/>
      <c r="I633" s="36"/>
      <c r="J633" s="36"/>
      <c r="K633" s="36"/>
      <c r="L633" s="36"/>
      <c r="M633" s="36"/>
      <c r="N633" s="35"/>
      <c r="O633" s="35"/>
      <c r="P633" s="35"/>
      <c r="Q633" s="36"/>
      <c r="R633" s="36"/>
      <c r="S633" s="36"/>
      <c r="T633" s="46"/>
      <c r="U633" s="36"/>
      <c r="V633" s="35"/>
      <c r="W633" s="38" t="str">
        <f t="shared" si="9"/>
        <v/>
      </c>
    </row>
    <row r="634" spans="1:23" x14ac:dyDescent="0.35">
      <c r="A634" s="46"/>
      <c r="B634" s="36"/>
      <c r="C634" s="35"/>
      <c r="D634" s="24"/>
      <c r="E634" s="35"/>
      <c r="F634" s="35"/>
      <c r="G634" s="36"/>
      <c r="H634" s="36"/>
      <c r="I634" s="36"/>
      <c r="J634" s="36"/>
      <c r="K634" s="36"/>
      <c r="L634" s="36"/>
      <c r="M634" s="36"/>
      <c r="N634" s="35"/>
      <c r="O634" s="35"/>
      <c r="P634" s="35"/>
      <c r="Q634" s="36"/>
      <c r="R634" s="36"/>
      <c r="S634" s="36"/>
      <c r="T634" s="46"/>
      <c r="U634" s="36"/>
      <c r="V634" s="35"/>
      <c r="W634" s="38" t="str">
        <f t="shared" si="9"/>
        <v/>
      </c>
    </row>
    <row r="635" spans="1:23" x14ac:dyDescent="0.35">
      <c r="A635" s="46"/>
      <c r="B635" s="36"/>
      <c r="C635" s="35"/>
      <c r="D635" s="24"/>
      <c r="E635" s="35"/>
      <c r="F635" s="35"/>
      <c r="G635" s="36"/>
      <c r="H635" s="36"/>
      <c r="I635" s="36"/>
      <c r="J635" s="36"/>
      <c r="K635" s="36"/>
      <c r="L635" s="36"/>
      <c r="M635" s="36"/>
      <c r="N635" s="35"/>
      <c r="O635" s="35"/>
      <c r="P635" s="35"/>
      <c r="Q635" s="36"/>
      <c r="R635" s="36"/>
      <c r="S635" s="36"/>
      <c r="T635" s="46"/>
      <c r="U635" s="36"/>
      <c r="V635" s="35"/>
      <c r="W635" s="38" t="str">
        <f t="shared" si="9"/>
        <v/>
      </c>
    </row>
    <row r="636" spans="1:23" x14ac:dyDescent="0.35">
      <c r="A636" s="46"/>
      <c r="B636" s="36"/>
      <c r="C636" s="35"/>
      <c r="D636" s="24"/>
      <c r="E636" s="35"/>
      <c r="F636" s="35"/>
      <c r="G636" s="36"/>
      <c r="H636" s="36"/>
      <c r="I636" s="36"/>
      <c r="J636" s="36"/>
      <c r="K636" s="36"/>
      <c r="L636" s="36"/>
      <c r="M636" s="36"/>
      <c r="N636" s="35"/>
      <c r="O636" s="35"/>
      <c r="P636" s="35"/>
      <c r="Q636" s="36"/>
      <c r="R636" s="36"/>
      <c r="S636" s="36"/>
      <c r="T636" s="46"/>
      <c r="U636" s="36"/>
      <c r="V636" s="35"/>
      <c r="W636" s="38" t="str">
        <f t="shared" si="9"/>
        <v/>
      </c>
    </row>
    <row r="637" spans="1:23" x14ac:dyDescent="0.35">
      <c r="A637" s="46"/>
      <c r="B637" s="36"/>
      <c r="C637" s="35"/>
      <c r="D637" s="24"/>
      <c r="E637" s="35"/>
      <c r="F637" s="35"/>
      <c r="G637" s="36"/>
      <c r="H637" s="36"/>
      <c r="I637" s="36"/>
      <c r="J637" s="36"/>
      <c r="K637" s="36"/>
      <c r="L637" s="36"/>
      <c r="M637" s="36"/>
      <c r="N637" s="35"/>
      <c r="O637" s="35"/>
      <c r="P637" s="35"/>
      <c r="Q637" s="36"/>
      <c r="R637" s="36"/>
      <c r="S637" s="36"/>
      <c r="T637" s="46"/>
      <c r="U637" s="36"/>
      <c r="V637" s="35"/>
      <c r="W637" s="38" t="str">
        <f t="shared" si="9"/>
        <v/>
      </c>
    </row>
    <row r="638" spans="1:23" x14ac:dyDescent="0.35">
      <c r="A638" s="46"/>
      <c r="B638" s="36"/>
      <c r="C638" s="35"/>
      <c r="D638" s="24"/>
      <c r="E638" s="35"/>
      <c r="F638" s="35"/>
      <c r="G638" s="36"/>
      <c r="H638" s="36"/>
      <c r="I638" s="36"/>
      <c r="J638" s="36"/>
      <c r="K638" s="36"/>
      <c r="L638" s="36"/>
      <c r="M638" s="36"/>
      <c r="N638" s="35"/>
      <c r="O638" s="35"/>
      <c r="P638" s="35"/>
      <c r="Q638" s="36"/>
      <c r="R638" s="36"/>
      <c r="S638" s="36"/>
      <c r="T638" s="46"/>
      <c r="U638" s="36"/>
      <c r="V638" s="35"/>
      <c r="W638" s="38" t="str">
        <f t="shared" si="9"/>
        <v/>
      </c>
    </row>
    <row r="639" spans="1:23" x14ac:dyDescent="0.35">
      <c r="A639" s="46"/>
      <c r="B639" s="36"/>
      <c r="C639" s="35"/>
      <c r="D639" s="24"/>
      <c r="E639" s="35"/>
      <c r="F639" s="35"/>
      <c r="G639" s="36"/>
      <c r="H639" s="36"/>
      <c r="I639" s="36"/>
      <c r="J639" s="36"/>
      <c r="K639" s="36"/>
      <c r="L639" s="36"/>
      <c r="M639" s="36"/>
      <c r="N639" s="35"/>
      <c r="O639" s="35"/>
      <c r="P639" s="35"/>
      <c r="Q639" s="36"/>
      <c r="R639" s="36"/>
      <c r="S639" s="36"/>
      <c r="T639" s="46"/>
      <c r="U639" s="36"/>
      <c r="V639" s="35"/>
      <c r="W639" s="38" t="str">
        <f t="shared" si="9"/>
        <v/>
      </c>
    </row>
    <row r="640" spans="1:23" x14ac:dyDescent="0.35">
      <c r="A640" s="46"/>
      <c r="B640" s="36"/>
      <c r="C640" s="35"/>
      <c r="D640" s="24"/>
      <c r="E640" s="35"/>
      <c r="F640" s="35"/>
      <c r="G640" s="36"/>
      <c r="H640" s="36"/>
      <c r="I640" s="36"/>
      <c r="J640" s="36"/>
      <c r="K640" s="36"/>
      <c r="L640" s="36"/>
      <c r="M640" s="36"/>
      <c r="N640" s="35"/>
      <c r="O640" s="35"/>
      <c r="P640" s="35"/>
      <c r="Q640" s="36"/>
      <c r="R640" s="36"/>
      <c r="S640" s="36"/>
      <c r="T640" s="46"/>
      <c r="U640" s="36"/>
      <c r="V640" s="35"/>
      <c r="W640" s="38" t="str">
        <f t="shared" si="9"/>
        <v/>
      </c>
    </row>
    <row r="641" spans="1:23" x14ac:dyDescent="0.35">
      <c r="A641" s="46"/>
      <c r="B641" s="36"/>
      <c r="C641" s="35"/>
      <c r="D641" s="24"/>
      <c r="E641" s="35"/>
      <c r="F641" s="35"/>
      <c r="G641" s="36"/>
      <c r="H641" s="36"/>
      <c r="I641" s="36"/>
      <c r="J641" s="36"/>
      <c r="K641" s="36"/>
      <c r="L641" s="36"/>
      <c r="M641" s="36"/>
      <c r="N641" s="35"/>
      <c r="O641" s="35"/>
      <c r="P641" s="35"/>
      <c r="Q641" s="36"/>
      <c r="R641" s="36"/>
      <c r="S641" s="36"/>
      <c r="T641" s="46"/>
      <c r="U641" s="36"/>
      <c r="V641" s="35"/>
      <c r="W641" s="38" t="str">
        <f t="shared" si="9"/>
        <v/>
      </c>
    </row>
    <row r="642" spans="1:23" x14ac:dyDescent="0.35">
      <c r="A642" s="46"/>
      <c r="B642" s="36"/>
      <c r="C642" s="35"/>
      <c r="D642" s="24"/>
      <c r="E642" s="35"/>
      <c r="F642" s="35"/>
      <c r="G642" s="36"/>
      <c r="H642" s="36"/>
      <c r="I642" s="36"/>
      <c r="J642" s="36"/>
      <c r="K642" s="36"/>
      <c r="L642" s="36"/>
      <c r="M642" s="36"/>
      <c r="N642" s="35"/>
      <c r="O642" s="35"/>
      <c r="P642" s="35"/>
      <c r="Q642" s="36"/>
      <c r="R642" s="36"/>
      <c r="S642" s="36"/>
      <c r="T642" s="46"/>
      <c r="U642" s="36"/>
      <c r="V642" s="35"/>
      <c r="W642" s="38" t="str">
        <f t="shared" si="9"/>
        <v/>
      </c>
    </row>
    <row r="643" spans="1:23" x14ac:dyDescent="0.35">
      <c r="A643" s="46"/>
      <c r="B643" s="36"/>
      <c r="C643" s="35"/>
      <c r="D643" s="24"/>
      <c r="E643" s="35"/>
      <c r="F643" s="35"/>
      <c r="G643" s="36"/>
      <c r="H643" s="36"/>
      <c r="I643" s="36"/>
      <c r="J643" s="36"/>
      <c r="K643" s="36"/>
      <c r="L643" s="36"/>
      <c r="M643" s="36"/>
      <c r="N643" s="35"/>
      <c r="O643" s="35"/>
      <c r="P643" s="35"/>
      <c r="Q643" s="36"/>
      <c r="R643" s="36"/>
      <c r="S643" s="36"/>
      <c r="T643" s="46"/>
      <c r="U643" s="36"/>
      <c r="V643" s="35"/>
      <c r="W643" s="38" t="str">
        <f t="shared" si="9"/>
        <v/>
      </c>
    </row>
    <row r="644" spans="1:23" x14ac:dyDescent="0.35">
      <c r="A644" s="46"/>
      <c r="B644" s="36"/>
      <c r="C644" s="35"/>
      <c r="D644" s="24"/>
      <c r="E644" s="35"/>
      <c r="F644" s="35"/>
      <c r="G644" s="36"/>
      <c r="H644" s="36"/>
      <c r="I644" s="36"/>
      <c r="J644" s="36"/>
      <c r="K644" s="36"/>
      <c r="L644" s="36"/>
      <c r="M644" s="36"/>
      <c r="N644" s="35"/>
      <c r="O644" s="35"/>
      <c r="P644" s="35"/>
      <c r="Q644" s="36"/>
      <c r="R644" s="36"/>
      <c r="S644" s="36"/>
      <c r="T644" s="46"/>
      <c r="U644" s="36"/>
      <c r="V644" s="35"/>
      <c r="W644" s="38" t="str">
        <f t="shared" si="9"/>
        <v/>
      </c>
    </row>
    <row r="645" spans="1:23" x14ac:dyDescent="0.35">
      <c r="A645" s="46"/>
      <c r="B645" s="36"/>
      <c r="C645" s="35"/>
      <c r="D645" s="24"/>
      <c r="E645" s="35"/>
      <c r="F645" s="35"/>
      <c r="G645" s="36"/>
      <c r="H645" s="36"/>
      <c r="I645" s="36"/>
      <c r="J645" s="36"/>
      <c r="K645" s="36"/>
      <c r="L645" s="36"/>
      <c r="M645" s="36"/>
      <c r="N645" s="35"/>
      <c r="O645" s="35"/>
      <c r="P645" s="35"/>
      <c r="Q645" s="36"/>
      <c r="R645" s="36"/>
      <c r="S645" s="36"/>
      <c r="T645" s="46"/>
      <c r="U645" s="36"/>
      <c r="V645" s="35"/>
      <c r="W645" s="38" t="str">
        <f t="shared" si="9"/>
        <v/>
      </c>
    </row>
    <row r="646" spans="1:23" x14ac:dyDescent="0.35">
      <c r="A646" s="46"/>
      <c r="B646" s="36"/>
      <c r="C646" s="35"/>
      <c r="D646" s="24"/>
      <c r="E646" s="35"/>
      <c r="F646" s="35"/>
      <c r="G646" s="36"/>
      <c r="H646" s="36"/>
      <c r="I646" s="36"/>
      <c r="J646" s="36"/>
      <c r="K646" s="36"/>
      <c r="L646" s="36"/>
      <c r="M646" s="36"/>
      <c r="N646" s="35"/>
      <c r="O646" s="35"/>
      <c r="P646" s="35"/>
      <c r="Q646" s="36"/>
      <c r="R646" s="36"/>
      <c r="S646" s="36"/>
      <c r="T646" s="46"/>
      <c r="U646" s="36"/>
      <c r="V646" s="35"/>
      <c r="W646" s="38" t="str">
        <f t="shared" ref="W646:W709" si="10">IF(OR(A646="",C646=""),"",INT(A646)&amp;"|"&amp;C646)</f>
        <v/>
      </c>
    </row>
    <row r="647" spans="1:23" x14ac:dyDescent="0.35">
      <c r="A647" s="46"/>
      <c r="B647" s="36"/>
      <c r="C647" s="35"/>
      <c r="D647" s="24"/>
      <c r="E647" s="35"/>
      <c r="F647" s="35"/>
      <c r="G647" s="36"/>
      <c r="H647" s="36"/>
      <c r="I647" s="36"/>
      <c r="J647" s="36"/>
      <c r="K647" s="36"/>
      <c r="L647" s="36"/>
      <c r="M647" s="36"/>
      <c r="N647" s="35"/>
      <c r="O647" s="35"/>
      <c r="P647" s="35"/>
      <c r="Q647" s="36"/>
      <c r="R647" s="36"/>
      <c r="S647" s="36"/>
      <c r="T647" s="46"/>
      <c r="U647" s="36"/>
      <c r="V647" s="35"/>
      <c r="W647" s="38" t="str">
        <f t="shared" si="10"/>
        <v/>
      </c>
    </row>
    <row r="648" spans="1:23" x14ac:dyDescent="0.35">
      <c r="A648" s="46"/>
      <c r="B648" s="36"/>
      <c r="C648" s="35"/>
      <c r="D648" s="24"/>
      <c r="E648" s="35"/>
      <c r="F648" s="35"/>
      <c r="G648" s="36"/>
      <c r="H648" s="36"/>
      <c r="I648" s="36"/>
      <c r="J648" s="36"/>
      <c r="K648" s="36"/>
      <c r="L648" s="36"/>
      <c r="M648" s="36"/>
      <c r="N648" s="35"/>
      <c r="O648" s="35"/>
      <c r="P648" s="35"/>
      <c r="Q648" s="36"/>
      <c r="R648" s="36"/>
      <c r="S648" s="36"/>
      <c r="T648" s="46"/>
      <c r="U648" s="36"/>
      <c r="V648" s="35"/>
      <c r="W648" s="38" t="str">
        <f t="shared" si="10"/>
        <v/>
      </c>
    </row>
    <row r="649" spans="1:23" x14ac:dyDescent="0.35">
      <c r="A649" s="46"/>
      <c r="B649" s="36"/>
      <c r="C649" s="35"/>
      <c r="D649" s="24"/>
      <c r="E649" s="35"/>
      <c r="F649" s="35"/>
      <c r="G649" s="36"/>
      <c r="H649" s="36"/>
      <c r="I649" s="36"/>
      <c r="J649" s="36"/>
      <c r="K649" s="36"/>
      <c r="L649" s="36"/>
      <c r="M649" s="36"/>
      <c r="N649" s="35"/>
      <c r="O649" s="35"/>
      <c r="P649" s="35"/>
      <c r="Q649" s="36"/>
      <c r="R649" s="36"/>
      <c r="S649" s="36"/>
      <c r="T649" s="46"/>
      <c r="U649" s="36"/>
      <c r="V649" s="35"/>
      <c r="W649" s="38" t="str">
        <f t="shared" si="10"/>
        <v/>
      </c>
    </row>
    <row r="650" spans="1:23" x14ac:dyDescent="0.35">
      <c r="A650" s="46"/>
      <c r="B650" s="36"/>
      <c r="C650" s="35"/>
      <c r="D650" s="24"/>
      <c r="E650" s="35"/>
      <c r="F650" s="35"/>
      <c r="G650" s="36"/>
      <c r="H650" s="36"/>
      <c r="I650" s="36"/>
      <c r="J650" s="36"/>
      <c r="K650" s="36"/>
      <c r="L650" s="36"/>
      <c r="M650" s="36"/>
      <c r="N650" s="35"/>
      <c r="O650" s="35"/>
      <c r="P650" s="35"/>
      <c r="Q650" s="36"/>
      <c r="R650" s="36"/>
      <c r="S650" s="36"/>
      <c r="T650" s="46"/>
      <c r="U650" s="36"/>
      <c r="V650" s="35"/>
      <c r="W650" s="38" t="str">
        <f t="shared" si="10"/>
        <v/>
      </c>
    </row>
    <row r="651" spans="1:23" x14ac:dyDescent="0.35">
      <c r="A651" s="46"/>
      <c r="B651" s="36"/>
      <c r="C651" s="35"/>
      <c r="D651" s="24"/>
      <c r="E651" s="35"/>
      <c r="F651" s="35"/>
      <c r="G651" s="36"/>
      <c r="H651" s="36"/>
      <c r="I651" s="36"/>
      <c r="J651" s="36"/>
      <c r="K651" s="36"/>
      <c r="L651" s="36"/>
      <c r="M651" s="36"/>
      <c r="N651" s="35"/>
      <c r="O651" s="35"/>
      <c r="P651" s="35"/>
      <c r="Q651" s="36"/>
      <c r="R651" s="36"/>
      <c r="S651" s="36"/>
      <c r="T651" s="46"/>
      <c r="U651" s="36"/>
      <c r="V651" s="35"/>
      <c r="W651" s="38" t="str">
        <f t="shared" si="10"/>
        <v/>
      </c>
    </row>
    <row r="652" spans="1:23" x14ac:dyDescent="0.35">
      <c r="A652" s="46"/>
      <c r="B652" s="36"/>
      <c r="C652" s="35"/>
      <c r="D652" s="24"/>
      <c r="E652" s="35"/>
      <c r="F652" s="35"/>
      <c r="G652" s="36"/>
      <c r="H652" s="36"/>
      <c r="I652" s="36"/>
      <c r="J652" s="36"/>
      <c r="K652" s="36"/>
      <c r="L652" s="36"/>
      <c r="M652" s="36"/>
      <c r="N652" s="35"/>
      <c r="O652" s="35"/>
      <c r="P652" s="35"/>
      <c r="Q652" s="36"/>
      <c r="R652" s="36"/>
      <c r="S652" s="36"/>
      <c r="T652" s="46"/>
      <c r="U652" s="36"/>
      <c r="V652" s="35"/>
      <c r="W652" s="38" t="str">
        <f t="shared" si="10"/>
        <v/>
      </c>
    </row>
    <row r="653" spans="1:23" x14ac:dyDescent="0.35">
      <c r="A653" s="46"/>
      <c r="B653" s="36"/>
      <c r="C653" s="35"/>
      <c r="D653" s="24"/>
      <c r="E653" s="35"/>
      <c r="F653" s="35"/>
      <c r="G653" s="36"/>
      <c r="H653" s="36"/>
      <c r="I653" s="36"/>
      <c r="J653" s="36"/>
      <c r="K653" s="36"/>
      <c r="L653" s="36"/>
      <c r="M653" s="36"/>
      <c r="N653" s="35"/>
      <c r="O653" s="35"/>
      <c r="P653" s="35"/>
      <c r="Q653" s="36"/>
      <c r="R653" s="36"/>
      <c r="S653" s="36"/>
      <c r="T653" s="46"/>
      <c r="U653" s="36"/>
      <c r="V653" s="35"/>
      <c r="W653" s="38" t="str">
        <f t="shared" si="10"/>
        <v/>
      </c>
    </row>
    <row r="654" spans="1:23" x14ac:dyDescent="0.35">
      <c r="A654" s="46"/>
      <c r="B654" s="36"/>
      <c r="C654" s="35"/>
      <c r="D654" s="24"/>
      <c r="E654" s="35"/>
      <c r="F654" s="35"/>
      <c r="G654" s="36"/>
      <c r="H654" s="36"/>
      <c r="I654" s="36"/>
      <c r="J654" s="36"/>
      <c r="K654" s="36"/>
      <c r="L654" s="36"/>
      <c r="M654" s="36"/>
      <c r="N654" s="35"/>
      <c r="O654" s="35"/>
      <c r="P654" s="35"/>
      <c r="Q654" s="36"/>
      <c r="R654" s="36"/>
      <c r="S654" s="36"/>
      <c r="T654" s="46"/>
      <c r="U654" s="36"/>
      <c r="V654" s="35"/>
      <c r="W654" s="38" t="str">
        <f t="shared" si="10"/>
        <v/>
      </c>
    </row>
    <row r="655" spans="1:23" x14ac:dyDescent="0.35">
      <c r="A655" s="46"/>
      <c r="B655" s="36"/>
      <c r="C655" s="35"/>
      <c r="D655" s="24"/>
      <c r="E655" s="35"/>
      <c r="F655" s="35"/>
      <c r="G655" s="36"/>
      <c r="H655" s="36"/>
      <c r="I655" s="36"/>
      <c r="J655" s="36"/>
      <c r="K655" s="36"/>
      <c r="L655" s="36"/>
      <c r="M655" s="36"/>
      <c r="N655" s="35"/>
      <c r="O655" s="35"/>
      <c r="P655" s="35"/>
      <c r="Q655" s="36"/>
      <c r="R655" s="36"/>
      <c r="S655" s="36"/>
      <c r="T655" s="46"/>
      <c r="U655" s="36"/>
      <c r="V655" s="35"/>
      <c r="W655" s="38" t="str">
        <f t="shared" si="10"/>
        <v/>
      </c>
    </row>
    <row r="656" spans="1:23" x14ac:dyDescent="0.35">
      <c r="A656" s="46"/>
      <c r="B656" s="36"/>
      <c r="C656" s="35"/>
      <c r="D656" s="24"/>
      <c r="E656" s="35"/>
      <c r="F656" s="35"/>
      <c r="G656" s="36"/>
      <c r="H656" s="36"/>
      <c r="I656" s="36"/>
      <c r="J656" s="36"/>
      <c r="K656" s="36"/>
      <c r="L656" s="36"/>
      <c r="M656" s="36"/>
      <c r="N656" s="35"/>
      <c r="O656" s="35"/>
      <c r="P656" s="35"/>
      <c r="Q656" s="36"/>
      <c r="R656" s="36"/>
      <c r="S656" s="36"/>
      <c r="T656" s="46"/>
      <c r="U656" s="36"/>
      <c r="V656" s="35"/>
      <c r="W656" s="38" t="str">
        <f t="shared" si="10"/>
        <v/>
      </c>
    </row>
    <row r="657" spans="1:23" x14ac:dyDescent="0.35">
      <c r="A657" s="46"/>
      <c r="B657" s="36"/>
      <c r="C657" s="35"/>
      <c r="D657" s="24"/>
      <c r="E657" s="35"/>
      <c r="F657" s="35"/>
      <c r="G657" s="36"/>
      <c r="H657" s="36"/>
      <c r="I657" s="36"/>
      <c r="J657" s="36"/>
      <c r="K657" s="36"/>
      <c r="L657" s="36"/>
      <c r="M657" s="36"/>
      <c r="N657" s="35"/>
      <c r="O657" s="35"/>
      <c r="P657" s="35"/>
      <c r="Q657" s="36"/>
      <c r="R657" s="36"/>
      <c r="S657" s="36"/>
      <c r="T657" s="46"/>
      <c r="U657" s="36"/>
      <c r="V657" s="35"/>
      <c r="W657" s="38" t="str">
        <f t="shared" si="10"/>
        <v/>
      </c>
    </row>
    <row r="658" spans="1:23" x14ac:dyDescent="0.35">
      <c r="A658" s="46"/>
      <c r="B658" s="36"/>
      <c r="C658" s="35"/>
      <c r="D658" s="24"/>
      <c r="E658" s="35"/>
      <c r="F658" s="35"/>
      <c r="G658" s="36"/>
      <c r="H658" s="36"/>
      <c r="I658" s="36"/>
      <c r="J658" s="36"/>
      <c r="K658" s="36"/>
      <c r="L658" s="36"/>
      <c r="M658" s="36"/>
      <c r="N658" s="35"/>
      <c r="O658" s="35"/>
      <c r="P658" s="35"/>
      <c r="Q658" s="36"/>
      <c r="R658" s="36"/>
      <c r="S658" s="36"/>
      <c r="T658" s="46"/>
      <c r="U658" s="36"/>
      <c r="V658" s="35"/>
      <c r="W658" s="38" t="str">
        <f t="shared" si="10"/>
        <v/>
      </c>
    </row>
    <row r="659" spans="1:23" x14ac:dyDescent="0.35">
      <c r="A659" s="46"/>
      <c r="B659" s="36"/>
      <c r="C659" s="35"/>
      <c r="D659" s="24"/>
      <c r="E659" s="35"/>
      <c r="F659" s="35"/>
      <c r="G659" s="36"/>
      <c r="H659" s="36"/>
      <c r="I659" s="36"/>
      <c r="J659" s="36"/>
      <c r="K659" s="36"/>
      <c r="L659" s="36"/>
      <c r="M659" s="36"/>
      <c r="N659" s="35"/>
      <c r="O659" s="35"/>
      <c r="P659" s="35"/>
      <c r="Q659" s="36"/>
      <c r="R659" s="36"/>
      <c r="S659" s="36"/>
      <c r="T659" s="46"/>
      <c r="U659" s="36"/>
      <c r="V659" s="35"/>
      <c r="W659" s="38" t="str">
        <f t="shared" si="10"/>
        <v/>
      </c>
    </row>
    <row r="660" spans="1:23" x14ac:dyDescent="0.35">
      <c r="A660" s="46"/>
      <c r="B660" s="36"/>
      <c r="C660" s="35"/>
      <c r="D660" s="24"/>
      <c r="E660" s="35"/>
      <c r="F660" s="35"/>
      <c r="G660" s="36"/>
      <c r="H660" s="36"/>
      <c r="I660" s="36"/>
      <c r="J660" s="36"/>
      <c r="K660" s="36"/>
      <c r="L660" s="36"/>
      <c r="M660" s="36"/>
      <c r="N660" s="35"/>
      <c r="O660" s="35"/>
      <c r="P660" s="35"/>
      <c r="Q660" s="36"/>
      <c r="R660" s="36"/>
      <c r="S660" s="36"/>
      <c r="T660" s="46"/>
      <c r="U660" s="36"/>
      <c r="V660" s="35"/>
      <c r="W660" s="38" t="str">
        <f t="shared" si="10"/>
        <v/>
      </c>
    </row>
    <row r="661" spans="1:23" x14ac:dyDescent="0.35">
      <c r="A661" s="46"/>
      <c r="B661" s="36"/>
      <c r="C661" s="35"/>
      <c r="D661" s="24"/>
      <c r="E661" s="35"/>
      <c r="F661" s="35"/>
      <c r="G661" s="36"/>
      <c r="H661" s="36"/>
      <c r="I661" s="36"/>
      <c r="J661" s="36"/>
      <c r="K661" s="36"/>
      <c r="L661" s="36"/>
      <c r="M661" s="36"/>
      <c r="N661" s="35"/>
      <c r="O661" s="35"/>
      <c r="P661" s="35"/>
      <c r="Q661" s="36"/>
      <c r="R661" s="36"/>
      <c r="S661" s="36"/>
      <c r="T661" s="46"/>
      <c r="U661" s="36"/>
      <c r="V661" s="35"/>
      <c r="W661" s="38" t="str">
        <f t="shared" si="10"/>
        <v/>
      </c>
    </row>
    <row r="662" spans="1:23" x14ac:dyDescent="0.35">
      <c r="A662" s="46"/>
      <c r="B662" s="36"/>
      <c r="C662" s="35"/>
      <c r="D662" s="24"/>
      <c r="E662" s="35"/>
      <c r="F662" s="35"/>
      <c r="G662" s="36"/>
      <c r="H662" s="36"/>
      <c r="I662" s="36"/>
      <c r="J662" s="36"/>
      <c r="K662" s="36"/>
      <c r="L662" s="36"/>
      <c r="M662" s="36"/>
      <c r="N662" s="35"/>
      <c r="O662" s="35"/>
      <c r="P662" s="35"/>
      <c r="Q662" s="36"/>
      <c r="R662" s="36"/>
      <c r="S662" s="36"/>
      <c r="T662" s="46"/>
      <c r="U662" s="36"/>
      <c r="V662" s="35"/>
      <c r="W662" s="38" t="str">
        <f t="shared" si="10"/>
        <v/>
      </c>
    </row>
    <row r="663" spans="1:23" x14ac:dyDescent="0.35">
      <c r="A663" s="46"/>
      <c r="B663" s="36"/>
      <c r="C663" s="35"/>
      <c r="D663" s="24"/>
      <c r="E663" s="35"/>
      <c r="F663" s="35"/>
      <c r="G663" s="36"/>
      <c r="H663" s="36"/>
      <c r="I663" s="36"/>
      <c r="J663" s="36"/>
      <c r="K663" s="36"/>
      <c r="L663" s="36"/>
      <c r="M663" s="36"/>
      <c r="N663" s="35"/>
      <c r="O663" s="35"/>
      <c r="P663" s="35"/>
      <c r="Q663" s="36"/>
      <c r="R663" s="36"/>
      <c r="S663" s="36"/>
      <c r="T663" s="46"/>
      <c r="U663" s="36"/>
      <c r="V663" s="35"/>
      <c r="W663" s="38" t="str">
        <f t="shared" si="10"/>
        <v/>
      </c>
    </row>
    <row r="664" spans="1:23" x14ac:dyDescent="0.35">
      <c r="A664" s="46"/>
      <c r="B664" s="36"/>
      <c r="C664" s="35"/>
      <c r="D664" s="24"/>
      <c r="E664" s="35"/>
      <c r="F664" s="35"/>
      <c r="G664" s="36"/>
      <c r="H664" s="36"/>
      <c r="I664" s="36"/>
      <c r="J664" s="36"/>
      <c r="K664" s="36"/>
      <c r="L664" s="36"/>
      <c r="M664" s="36"/>
      <c r="N664" s="35"/>
      <c r="O664" s="35"/>
      <c r="P664" s="35"/>
      <c r="Q664" s="36"/>
      <c r="R664" s="36"/>
      <c r="S664" s="36"/>
      <c r="T664" s="46"/>
      <c r="U664" s="36"/>
      <c r="V664" s="35"/>
      <c r="W664" s="38" t="str">
        <f t="shared" si="10"/>
        <v/>
      </c>
    </row>
    <row r="665" spans="1:23" x14ac:dyDescent="0.35">
      <c r="A665" s="46"/>
      <c r="B665" s="36"/>
      <c r="C665" s="35"/>
      <c r="D665" s="24"/>
      <c r="E665" s="35"/>
      <c r="F665" s="35"/>
      <c r="G665" s="36"/>
      <c r="H665" s="36"/>
      <c r="I665" s="36"/>
      <c r="J665" s="36"/>
      <c r="K665" s="36"/>
      <c r="L665" s="36"/>
      <c r="M665" s="36"/>
      <c r="N665" s="35"/>
      <c r="O665" s="35"/>
      <c r="P665" s="35"/>
      <c r="Q665" s="36"/>
      <c r="R665" s="36"/>
      <c r="S665" s="36"/>
      <c r="T665" s="46"/>
      <c r="U665" s="36"/>
      <c r="V665" s="35"/>
      <c r="W665" s="38" t="str">
        <f t="shared" si="10"/>
        <v/>
      </c>
    </row>
    <row r="666" spans="1:23" x14ac:dyDescent="0.35">
      <c r="A666" s="46"/>
      <c r="B666" s="36"/>
      <c r="C666" s="35"/>
      <c r="D666" s="24"/>
      <c r="E666" s="35"/>
      <c r="F666" s="35"/>
      <c r="G666" s="36"/>
      <c r="H666" s="36"/>
      <c r="I666" s="36"/>
      <c r="J666" s="36"/>
      <c r="K666" s="36"/>
      <c r="L666" s="36"/>
      <c r="M666" s="36"/>
      <c r="N666" s="35"/>
      <c r="O666" s="35"/>
      <c r="P666" s="35"/>
      <c r="Q666" s="36"/>
      <c r="R666" s="36"/>
      <c r="S666" s="36"/>
      <c r="T666" s="46"/>
      <c r="U666" s="36"/>
      <c r="V666" s="35"/>
      <c r="W666" s="38" t="str">
        <f t="shared" si="10"/>
        <v/>
      </c>
    </row>
    <row r="667" spans="1:23" x14ac:dyDescent="0.35">
      <c r="A667" s="46"/>
      <c r="B667" s="36"/>
      <c r="C667" s="35"/>
      <c r="D667" s="24"/>
      <c r="E667" s="35"/>
      <c r="F667" s="35"/>
      <c r="G667" s="36"/>
      <c r="H667" s="36"/>
      <c r="I667" s="36"/>
      <c r="J667" s="36"/>
      <c r="K667" s="36"/>
      <c r="L667" s="36"/>
      <c r="M667" s="36"/>
      <c r="N667" s="35"/>
      <c r="O667" s="35"/>
      <c r="P667" s="35"/>
      <c r="Q667" s="36"/>
      <c r="R667" s="36"/>
      <c r="S667" s="36"/>
      <c r="T667" s="46"/>
      <c r="U667" s="36"/>
      <c r="V667" s="35"/>
      <c r="W667" s="38" t="str">
        <f t="shared" si="10"/>
        <v/>
      </c>
    </row>
    <row r="668" spans="1:23" x14ac:dyDescent="0.35">
      <c r="A668" s="46"/>
      <c r="B668" s="36"/>
      <c r="C668" s="35"/>
      <c r="D668" s="24"/>
      <c r="E668" s="35"/>
      <c r="F668" s="35"/>
      <c r="G668" s="36"/>
      <c r="H668" s="36"/>
      <c r="I668" s="36"/>
      <c r="J668" s="36"/>
      <c r="K668" s="36"/>
      <c r="L668" s="36"/>
      <c r="M668" s="36"/>
      <c r="N668" s="35"/>
      <c r="O668" s="35"/>
      <c r="P668" s="35"/>
      <c r="Q668" s="36"/>
      <c r="R668" s="36"/>
      <c r="S668" s="36"/>
      <c r="T668" s="46"/>
      <c r="U668" s="36"/>
      <c r="V668" s="35"/>
      <c r="W668" s="38" t="str">
        <f t="shared" si="10"/>
        <v/>
      </c>
    </row>
    <row r="669" spans="1:23" x14ac:dyDescent="0.35">
      <c r="A669" s="46"/>
      <c r="B669" s="36"/>
      <c r="C669" s="35"/>
      <c r="D669" s="24"/>
      <c r="E669" s="35"/>
      <c r="F669" s="35"/>
      <c r="G669" s="36"/>
      <c r="H669" s="36"/>
      <c r="I669" s="36"/>
      <c r="J669" s="36"/>
      <c r="K669" s="36"/>
      <c r="L669" s="36"/>
      <c r="M669" s="36"/>
      <c r="N669" s="35"/>
      <c r="O669" s="35"/>
      <c r="P669" s="35"/>
      <c r="Q669" s="36"/>
      <c r="R669" s="36"/>
      <c r="S669" s="36"/>
      <c r="T669" s="46"/>
      <c r="U669" s="36"/>
      <c r="V669" s="35"/>
      <c r="W669" s="38" t="str">
        <f t="shared" si="10"/>
        <v/>
      </c>
    </row>
    <row r="670" spans="1:23" x14ac:dyDescent="0.35">
      <c r="A670" s="46"/>
      <c r="B670" s="36"/>
      <c r="C670" s="35"/>
      <c r="D670" s="24"/>
      <c r="E670" s="35"/>
      <c r="F670" s="35"/>
      <c r="G670" s="36"/>
      <c r="H670" s="36"/>
      <c r="I670" s="36"/>
      <c r="J670" s="36"/>
      <c r="K670" s="36"/>
      <c r="L670" s="36"/>
      <c r="M670" s="36"/>
      <c r="N670" s="35"/>
      <c r="O670" s="35"/>
      <c r="P670" s="35"/>
      <c r="Q670" s="36"/>
      <c r="R670" s="36"/>
      <c r="S670" s="36"/>
      <c r="T670" s="46"/>
      <c r="U670" s="36"/>
      <c r="V670" s="35"/>
      <c r="W670" s="38" t="str">
        <f t="shared" si="10"/>
        <v/>
      </c>
    </row>
    <row r="671" spans="1:23" x14ac:dyDescent="0.35">
      <c r="A671" s="46"/>
      <c r="B671" s="36"/>
      <c r="C671" s="35"/>
      <c r="D671" s="24"/>
      <c r="E671" s="35"/>
      <c r="F671" s="35"/>
      <c r="G671" s="36"/>
      <c r="H671" s="36"/>
      <c r="I671" s="36"/>
      <c r="J671" s="36"/>
      <c r="K671" s="36"/>
      <c r="L671" s="36"/>
      <c r="M671" s="36"/>
      <c r="N671" s="35"/>
      <c r="O671" s="35"/>
      <c r="P671" s="35"/>
      <c r="Q671" s="36"/>
      <c r="R671" s="36"/>
      <c r="S671" s="36"/>
      <c r="T671" s="46"/>
      <c r="U671" s="36"/>
      <c r="V671" s="35"/>
      <c r="W671" s="38" t="str">
        <f t="shared" si="10"/>
        <v/>
      </c>
    </row>
    <row r="672" spans="1:23" x14ac:dyDescent="0.35">
      <c r="A672" s="46"/>
      <c r="B672" s="36"/>
      <c r="C672" s="35"/>
      <c r="D672" s="24"/>
      <c r="E672" s="35"/>
      <c r="F672" s="35"/>
      <c r="G672" s="36"/>
      <c r="H672" s="36"/>
      <c r="I672" s="36"/>
      <c r="J672" s="36"/>
      <c r="K672" s="36"/>
      <c r="L672" s="36"/>
      <c r="M672" s="36"/>
      <c r="N672" s="35"/>
      <c r="O672" s="35"/>
      <c r="P672" s="35"/>
      <c r="Q672" s="36"/>
      <c r="R672" s="36"/>
      <c r="S672" s="36"/>
      <c r="T672" s="46"/>
      <c r="U672" s="36"/>
      <c r="V672" s="35"/>
      <c r="W672" s="38" t="str">
        <f t="shared" si="10"/>
        <v/>
      </c>
    </row>
    <row r="673" spans="1:23" x14ac:dyDescent="0.35">
      <c r="A673" s="46"/>
      <c r="B673" s="36"/>
      <c r="C673" s="35"/>
      <c r="D673" s="24"/>
      <c r="E673" s="35"/>
      <c r="F673" s="35"/>
      <c r="G673" s="36"/>
      <c r="H673" s="36"/>
      <c r="I673" s="36"/>
      <c r="J673" s="36"/>
      <c r="K673" s="36"/>
      <c r="L673" s="36"/>
      <c r="M673" s="36"/>
      <c r="N673" s="35"/>
      <c r="O673" s="35"/>
      <c r="P673" s="35"/>
      <c r="Q673" s="36"/>
      <c r="R673" s="36"/>
      <c r="S673" s="36"/>
      <c r="T673" s="46"/>
      <c r="U673" s="36"/>
      <c r="V673" s="35"/>
      <c r="W673" s="38" t="str">
        <f t="shared" si="10"/>
        <v/>
      </c>
    </row>
    <row r="674" spans="1:23" x14ac:dyDescent="0.35">
      <c r="A674" s="46"/>
      <c r="B674" s="36"/>
      <c r="C674" s="35"/>
      <c r="D674" s="24"/>
      <c r="E674" s="35"/>
      <c r="F674" s="35"/>
      <c r="G674" s="36"/>
      <c r="H674" s="36"/>
      <c r="I674" s="36"/>
      <c r="J674" s="36"/>
      <c r="K674" s="36"/>
      <c r="L674" s="36"/>
      <c r="M674" s="36"/>
      <c r="N674" s="35"/>
      <c r="O674" s="35"/>
      <c r="P674" s="35"/>
      <c r="Q674" s="36"/>
      <c r="R674" s="36"/>
      <c r="S674" s="36"/>
      <c r="T674" s="46"/>
      <c r="U674" s="36"/>
      <c r="V674" s="35"/>
      <c r="W674" s="38" t="str">
        <f t="shared" si="10"/>
        <v/>
      </c>
    </row>
    <row r="675" spans="1:23" x14ac:dyDescent="0.35">
      <c r="A675" s="46"/>
      <c r="B675" s="36"/>
      <c r="C675" s="35"/>
      <c r="D675" s="24"/>
      <c r="E675" s="35"/>
      <c r="F675" s="35"/>
      <c r="G675" s="36"/>
      <c r="H675" s="36"/>
      <c r="I675" s="36"/>
      <c r="J675" s="36"/>
      <c r="K675" s="36"/>
      <c r="L675" s="36"/>
      <c r="M675" s="36"/>
      <c r="N675" s="35"/>
      <c r="O675" s="35"/>
      <c r="P675" s="35"/>
      <c r="Q675" s="36"/>
      <c r="R675" s="36"/>
      <c r="S675" s="36"/>
      <c r="T675" s="46"/>
      <c r="U675" s="36"/>
      <c r="V675" s="35"/>
      <c r="W675" s="38" t="str">
        <f t="shared" si="10"/>
        <v/>
      </c>
    </row>
    <row r="676" spans="1:23" x14ac:dyDescent="0.35">
      <c r="A676" s="46"/>
      <c r="B676" s="36"/>
      <c r="C676" s="35"/>
      <c r="D676" s="24"/>
      <c r="E676" s="35"/>
      <c r="F676" s="35"/>
      <c r="G676" s="36"/>
      <c r="H676" s="36"/>
      <c r="I676" s="36"/>
      <c r="J676" s="36"/>
      <c r="K676" s="36"/>
      <c r="L676" s="36"/>
      <c r="M676" s="36"/>
      <c r="N676" s="35"/>
      <c r="O676" s="35"/>
      <c r="P676" s="35"/>
      <c r="Q676" s="36"/>
      <c r="R676" s="36"/>
      <c r="S676" s="36"/>
      <c r="T676" s="46"/>
      <c r="U676" s="36"/>
      <c r="V676" s="35"/>
      <c r="W676" s="38" t="str">
        <f t="shared" si="10"/>
        <v/>
      </c>
    </row>
    <row r="677" spans="1:23" x14ac:dyDescent="0.35">
      <c r="A677" s="46"/>
      <c r="B677" s="36"/>
      <c r="C677" s="35"/>
      <c r="D677" s="24"/>
      <c r="E677" s="35"/>
      <c r="F677" s="35"/>
      <c r="G677" s="36"/>
      <c r="H677" s="36"/>
      <c r="I677" s="36"/>
      <c r="J677" s="36"/>
      <c r="K677" s="36"/>
      <c r="L677" s="36"/>
      <c r="M677" s="36"/>
      <c r="N677" s="35"/>
      <c r="O677" s="35"/>
      <c r="P677" s="35"/>
      <c r="Q677" s="36"/>
      <c r="R677" s="36"/>
      <c r="S677" s="36"/>
      <c r="T677" s="46"/>
      <c r="U677" s="36"/>
      <c r="V677" s="35"/>
      <c r="W677" s="38" t="str">
        <f t="shared" si="10"/>
        <v/>
      </c>
    </row>
    <row r="678" spans="1:23" x14ac:dyDescent="0.35">
      <c r="A678" s="46"/>
      <c r="B678" s="36"/>
      <c r="C678" s="35"/>
      <c r="D678" s="24"/>
      <c r="E678" s="35"/>
      <c r="F678" s="35"/>
      <c r="G678" s="36"/>
      <c r="H678" s="36"/>
      <c r="I678" s="36"/>
      <c r="J678" s="36"/>
      <c r="K678" s="36"/>
      <c r="L678" s="36"/>
      <c r="M678" s="36"/>
      <c r="N678" s="35"/>
      <c r="O678" s="35"/>
      <c r="P678" s="35"/>
      <c r="Q678" s="36"/>
      <c r="R678" s="36"/>
      <c r="S678" s="36"/>
      <c r="T678" s="46"/>
      <c r="U678" s="36"/>
      <c r="V678" s="35"/>
      <c r="W678" s="38" t="str">
        <f t="shared" si="10"/>
        <v/>
      </c>
    </row>
    <row r="679" spans="1:23" x14ac:dyDescent="0.35">
      <c r="A679" s="46"/>
      <c r="B679" s="36"/>
      <c r="C679" s="35"/>
      <c r="D679" s="24"/>
      <c r="E679" s="35"/>
      <c r="F679" s="35"/>
      <c r="G679" s="36"/>
      <c r="H679" s="36"/>
      <c r="I679" s="36"/>
      <c r="J679" s="36"/>
      <c r="K679" s="36"/>
      <c r="L679" s="36"/>
      <c r="M679" s="36"/>
      <c r="N679" s="35"/>
      <c r="O679" s="35"/>
      <c r="P679" s="35"/>
      <c r="Q679" s="36"/>
      <c r="R679" s="36"/>
      <c r="S679" s="36"/>
      <c r="T679" s="46"/>
      <c r="U679" s="36"/>
      <c r="V679" s="35"/>
      <c r="W679" s="38" t="str">
        <f t="shared" si="10"/>
        <v/>
      </c>
    </row>
    <row r="680" spans="1:23" x14ac:dyDescent="0.35">
      <c r="A680" s="46"/>
      <c r="B680" s="36"/>
      <c r="C680" s="35"/>
      <c r="D680" s="24"/>
      <c r="E680" s="35"/>
      <c r="F680" s="35"/>
      <c r="G680" s="36"/>
      <c r="H680" s="36"/>
      <c r="I680" s="36"/>
      <c r="J680" s="36"/>
      <c r="K680" s="36"/>
      <c r="L680" s="36"/>
      <c r="M680" s="36"/>
      <c r="N680" s="35"/>
      <c r="O680" s="35"/>
      <c r="P680" s="35"/>
      <c r="Q680" s="36"/>
      <c r="R680" s="36"/>
      <c r="S680" s="36"/>
      <c r="T680" s="46"/>
      <c r="U680" s="36"/>
      <c r="V680" s="35"/>
      <c r="W680" s="38" t="str">
        <f t="shared" si="10"/>
        <v/>
      </c>
    </row>
    <row r="681" spans="1:23" x14ac:dyDescent="0.35">
      <c r="A681" s="46"/>
      <c r="B681" s="36"/>
      <c r="C681" s="35"/>
      <c r="D681" s="24"/>
      <c r="E681" s="35"/>
      <c r="F681" s="35"/>
      <c r="G681" s="36"/>
      <c r="H681" s="36"/>
      <c r="I681" s="36"/>
      <c r="J681" s="36"/>
      <c r="K681" s="36"/>
      <c r="L681" s="36"/>
      <c r="M681" s="36"/>
      <c r="N681" s="35"/>
      <c r="O681" s="35"/>
      <c r="P681" s="35"/>
      <c r="Q681" s="36"/>
      <c r="R681" s="36"/>
      <c r="S681" s="36"/>
      <c r="T681" s="46"/>
      <c r="U681" s="36"/>
      <c r="V681" s="35"/>
      <c r="W681" s="38" t="str">
        <f t="shared" si="10"/>
        <v/>
      </c>
    </row>
    <row r="682" spans="1:23" x14ac:dyDescent="0.35">
      <c r="A682" s="46"/>
      <c r="B682" s="36"/>
      <c r="C682" s="35"/>
      <c r="D682" s="24"/>
      <c r="E682" s="35"/>
      <c r="F682" s="35"/>
      <c r="G682" s="36"/>
      <c r="H682" s="36"/>
      <c r="I682" s="36"/>
      <c r="J682" s="36"/>
      <c r="K682" s="36"/>
      <c r="L682" s="36"/>
      <c r="M682" s="36"/>
      <c r="N682" s="35"/>
      <c r="O682" s="35"/>
      <c r="P682" s="35"/>
      <c r="Q682" s="36"/>
      <c r="R682" s="36"/>
      <c r="S682" s="36"/>
      <c r="T682" s="46"/>
      <c r="U682" s="36"/>
      <c r="V682" s="35"/>
      <c r="W682" s="38" t="str">
        <f t="shared" si="10"/>
        <v/>
      </c>
    </row>
    <row r="683" spans="1:23" x14ac:dyDescent="0.35">
      <c r="A683" s="46"/>
      <c r="B683" s="36"/>
      <c r="C683" s="35"/>
      <c r="D683" s="24"/>
      <c r="E683" s="35"/>
      <c r="F683" s="35"/>
      <c r="G683" s="36"/>
      <c r="H683" s="36"/>
      <c r="I683" s="36"/>
      <c r="J683" s="36"/>
      <c r="K683" s="36"/>
      <c r="L683" s="36"/>
      <c r="M683" s="36"/>
      <c r="N683" s="35"/>
      <c r="O683" s="35"/>
      <c r="P683" s="35"/>
      <c r="Q683" s="36"/>
      <c r="R683" s="36"/>
      <c r="S683" s="36"/>
      <c r="T683" s="46"/>
      <c r="U683" s="36"/>
      <c r="V683" s="35"/>
      <c r="W683" s="38" t="str">
        <f t="shared" si="10"/>
        <v/>
      </c>
    </row>
    <row r="684" spans="1:23" x14ac:dyDescent="0.35">
      <c r="A684" s="46"/>
      <c r="B684" s="36"/>
      <c r="C684" s="35"/>
      <c r="D684" s="24"/>
      <c r="E684" s="35"/>
      <c r="F684" s="35"/>
      <c r="G684" s="36"/>
      <c r="H684" s="36"/>
      <c r="I684" s="36"/>
      <c r="J684" s="36"/>
      <c r="K684" s="36"/>
      <c r="L684" s="36"/>
      <c r="M684" s="36"/>
      <c r="N684" s="35"/>
      <c r="O684" s="35"/>
      <c r="P684" s="35"/>
      <c r="Q684" s="36"/>
      <c r="R684" s="36"/>
      <c r="S684" s="36"/>
      <c r="T684" s="46"/>
      <c r="U684" s="36"/>
      <c r="V684" s="35"/>
      <c r="W684" s="38" t="str">
        <f t="shared" si="10"/>
        <v/>
      </c>
    </row>
    <row r="685" spans="1:23" x14ac:dyDescent="0.35">
      <c r="A685" s="46"/>
      <c r="B685" s="36"/>
      <c r="C685" s="35"/>
      <c r="D685" s="24"/>
      <c r="E685" s="35"/>
      <c r="F685" s="35"/>
      <c r="G685" s="36"/>
      <c r="H685" s="36"/>
      <c r="I685" s="36"/>
      <c r="J685" s="36"/>
      <c r="K685" s="36"/>
      <c r="L685" s="36"/>
      <c r="M685" s="36"/>
      <c r="N685" s="35"/>
      <c r="O685" s="35"/>
      <c r="P685" s="35"/>
      <c r="Q685" s="36"/>
      <c r="R685" s="36"/>
      <c r="S685" s="36"/>
      <c r="T685" s="46"/>
      <c r="U685" s="36"/>
      <c r="V685" s="35"/>
      <c r="W685" s="38" t="str">
        <f t="shared" si="10"/>
        <v/>
      </c>
    </row>
    <row r="686" spans="1:23" x14ac:dyDescent="0.35">
      <c r="A686" s="46"/>
      <c r="B686" s="36"/>
      <c r="C686" s="35"/>
      <c r="D686" s="24"/>
      <c r="E686" s="35"/>
      <c r="F686" s="35"/>
      <c r="G686" s="36"/>
      <c r="H686" s="36"/>
      <c r="I686" s="36"/>
      <c r="J686" s="36"/>
      <c r="K686" s="36"/>
      <c r="L686" s="36"/>
      <c r="M686" s="36"/>
      <c r="N686" s="35"/>
      <c r="O686" s="35"/>
      <c r="P686" s="35"/>
      <c r="Q686" s="36"/>
      <c r="R686" s="36"/>
      <c r="S686" s="36"/>
      <c r="T686" s="46"/>
      <c r="U686" s="36"/>
      <c r="V686" s="35"/>
      <c r="W686" s="38" t="str">
        <f t="shared" si="10"/>
        <v/>
      </c>
    </row>
    <row r="687" spans="1:23" x14ac:dyDescent="0.35">
      <c r="A687" s="46"/>
      <c r="B687" s="36"/>
      <c r="C687" s="35"/>
      <c r="D687" s="24"/>
      <c r="E687" s="35"/>
      <c r="F687" s="35"/>
      <c r="G687" s="36"/>
      <c r="H687" s="36"/>
      <c r="I687" s="36"/>
      <c r="J687" s="36"/>
      <c r="K687" s="36"/>
      <c r="L687" s="36"/>
      <c r="M687" s="36"/>
      <c r="N687" s="35"/>
      <c r="O687" s="35"/>
      <c r="P687" s="35"/>
      <c r="Q687" s="36"/>
      <c r="R687" s="36"/>
      <c r="S687" s="36"/>
      <c r="T687" s="46"/>
      <c r="U687" s="36"/>
      <c r="V687" s="35"/>
      <c r="W687" s="38" t="str">
        <f t="shared" si="10"/>
        <v/>
      </c>
    </row>
    <row r="688" spans="1:23" x14ac:dyDescent="0.35">
      <c r="A688" s="46"/>
      <c r="B688" s="36"/>
      <c r="C688" s="35"/>
      <c r="D688" s="24"/>
      <c r="E688" s="35"/>
      <c r="F688" s="35"/>
      <c r="G688" s="36"/>
      <c r="H688" s="36"/>
      <c r="I688" s="36"/>
      <c r="J688" s="36"/>
      <c r="K688" s="36"/>
      <c r="L688" s="36"/>
      <c r="M688" s="36"/>
      <c r="N688" s="35"/>
      <c r="O688" s="35"/>
      <c r="P688" s="35"/>
      <c r="Q688" s="36"/>
      <c r="R688" s="36"/>
      <c r="S688" s="36"/>
      <c r="T688" s="46"/>
      <c r="U688" s="36"/>
      <c r="V688" s="35"/>
      <c r="W688" s="38" t="str">
        <f t="shared" si="10"/>
        <v/>
      </c>
    </row>
    <row r="689" spans="1:23" x14ac:dyDescent="0.35">
      <c r="A689" s="46"/>
      <c r="B689" s="36"/>
      <c r="C689" s="35"/>
      <c r="D689" s="24"/>
      <c r="E689" s="35"/>
      <c r="F689" s="35"/>
      <c r="G689" s="36"/>
      <c r="H689" s="36"/>
      <c r="I689" s="36"/>
      <c r="J689" s="36"/>
      <c r="K689" s="36"/>
      <c r="L689" s="36"/>
      <c r="M689" s="36"/>
      <c r="N689" s="35"/>
      <c r="O689" s="35"/>
      <c r="P689" s="35"/>
      <c r="Q689" s="36"/>
      <c r="R689" s="36"/>
      <c r="S689" s="36"/>
      <c r="T689" s="46"/>
      <c r="U689" s="36"/>
      <c r="V689" s="35"/>
      <c r="W689" s="38" t="str">
        <f t="shared" si="10"/>
        <v/>
      </c>
    </row>
    <row r="690" spans="1:23" x14ac:dyDescent="0.35">
      <c r="A690" s="46"/>
      <c r="B690" s="36"/>
      <c r="C690" s="35"/>
      <c r="D690" s="24"/>
      <c r="E690" s="35"/>
      <c r="F690" s="35"/>
      <c r="G690" s="36"/>
      <c r="H690" s="36"/>
      <c r="I690" s="36"/>
      <c r="J690" s="36"/>
      <c r="K690" s="36"/>
      <c r="L690" s="36"/>
      <c r="M690" s="36"/>
      <c r="N690" s="35"/>
      <c r="O690" s="35"/>
      <c r="P690" s="35"/>
      <c r="Q690" s="36"/>
      <c r="R690" s="36"/>
      <c r="S690" s="36"/>
      <c r="T690" s="46"/>
      <c r="U690" s="36"/>
      <c r="V690" s="35"/>
      <c r="W690" s="38" t="str">
        <f t="shared" si="10"/>
        <v/>
      </c>
    </row>
    <row r="691" spans="1:23" x14ac:dyDescent="0.35">
      <c r="A691" s="46"/>
      <c r="B691" s="36"/>
      <c r="C691" s="35"/>
      <c r="D691" s="24"/>
      <c r="E691" s="35"/>
      <c r="F691" s="35"/>
      <c r="G691" s="36"/>
      <c r="H691" s="36"/>
      <c r="I691" s="36"/>
      <c r="J691" s="36"/>
      <c r="K691" s="36"/>
      <c r="L691" s="36"/>
      <c r="M691" s="36"/>
      <c r="N691" s="35"/>
      <c r="O691" s="35"/>
      <c r="P691" s="35"/>
      <c r="Q691" s="36"/>
      <c r="R691" s="36"/>
      <c r="S691" s="36"/>
      <c r="T691" s="46"/>
      <c r="U691" s="36"/>
      <c r="V691" s="35"/>
      <c r="W691" s="38" t="str">
        <f t="shared" si="10"/>
        <v/>
      </c>
    </row>
    <row r="692" spans="1:23" x14ac:dyDescent="0.35">
      <c r="A692" s="46"/>
      <c r="B692" s="36"/>
      <c r="C692" s="35"/>
      <c r="D692" s="24"/>
      <c r="E692" s="35"/>
      <c r="F692" s="35"/>
      <c r="G692" s="36"/>
      <c r="H692" s="36"/>
      <c r="I692" s="36"/>
      <c r="J692" s="36"/>
      <c r="K692" s="36"/>
      <c r="L692" s="36"/>
      <c r="M692" s="36"/>
      <c r="N692" s="35"/>
      <c r="O692" s="35"/>
      <c r="P692" s="35"/>
      <c r="Q692" s="36"/>
      <c r="R692" s="36"/>
      <c r="S692" s="36"/>
      <c r="T692" s="46"/>
      <c r="U692" s="36"/>
      <c r="V692" s="35"/>
      <c r="W692" s="38" t="str">
        <f t="shared" si="10"/>
        <v/>
      </c>
    </row>
    <row r="693" spans="1:23" x14ac:dyDescent="0.35">
      <c r="A693" s="46"/>
      <c r="B693" s="36"/>
      <c r="C693" s="35"/>
      <c r="D693" s="24"/>
      <c r="E693" s="35"/>
      <c r="F693" s="35"/>
      <c r="G693" s="36"/>
      <c r="H693" s="36"/>
      <c r="I693" s="36"/>
      <c r="J693" s="36"/>
      <c r="K693" s="36"/>
      <c r="L693" s="36"/>
      <c r="M693" s="36"/>
      <c r="N693" s="35"/>
      <c r="O693" s="35"/>
      <c r="P693" s="35"/>
      <c r="Q693" s="36"/>
      <c r="R693" s="36"/>
      <c r="S693" s="36"/>
      <c r="T693" s="46"/>
      <c r="U693" s="36"/>
      <c r="V693" s="35"/>
      <c r="W693" s="38" t="str">
        <f t="shared" si="10"/>
        <v/>
      </c>
    </row>
    <row r="694" spans="1:23" x14ac:dyDescent="0.35">
      <c r="A694" s="46"/>
      <c r="B694" s="36"/>
      <c r="C694" s="35"/>
      <c r="D694" s="24"/>
      <c r="E694" s="35"/>
      <c r="F694" s="35"/>
      <c r="G694" s="36"/>
      <c r="H694" s="36"/>
      <c r="I694" s="36"/>
      <c r="J694" s="36"/>
      <c r="K694" s="36"/>
      <c r="L694" s="36"/>
      <c r="M694" s="36"/>
      <c r="N694" s="35"/>
      <c r="O694" s="35"/>
      <c r="P694" s="35"/>
      <c r="Q694" s="36"/>
      <c r="R694" s="36"/>
      <c r="S694" s="36"/>
      <c r="T694" s="46"/>
      <c r="U694" s="36"/>
      <c r="V694" s="35"/>
      <c r="W694" s="38" t="str">
        <f t="shared" si="10"/>
        <v/>
      </c>
    </row>
    <row r="695" spans="1:23" x14ac:dyDescent="0.35">
      <c r="A695" s="46"/>
      <c r="B695" s="36"/>
      <c r="C695" s="35"/>
      <c r="D695" s="24"/>
      <c r="E695" s="35"/>
      <c r="F695" s="35"/>
      <c r="G695" s="36"/>
      <c r="H695" s="36"/>
      <c r="I695" s="36"/>
      <c r="J695" s="36"/>
      <c r="K695" s="36"/>
      <c r="L695" s="36"/>
      <c r="M695" s="36"/>
      <c r="N695" s="35"/>
      <c r="O695" s="35"/>
      <c r="P695" s="35"/>
      <c r="Q695" s="36"/>
      <c r="R695" s="36"/>
      <c r="S695" s="36"/>
      <c r="T695" s="46"/>
      <c r="U695" s="36"/>
      <c r="V695" s="35"/>
      <c r="W695" s="38" t="str">
        <f t="shared" si="10"/>
        <v/>
      </c>
    </row>
    <row r="696" spans="1:23" x14ac:dyDescent="0.35">
      <c r="A696" s="46"/>
      <c r="B696" s="36"/>
      <c r="C696" s="35"/>
      <c r="D696" s="24"/>
      <c r="E696" s="35"/>
      <c r="F696" s="35"/>
      <c r="G696" s="36"/>
      <c r="H696" s="36"/>
      <c r="I696" s="36"/>
      <c r="J696" s="36"/>
      <c r="K696" s="36"/>
      <c r="L696" s="36"/>
      <c r="M696" s="36"/>
      <c r="N696" s="35"/>
      <c r="O696" s="35"/>
      <c r="P696" s="35"/>
      <c r="Q696" s="36"/>
      <c r="R696" s="36"/>
      <c r="S696" s="36"/>
      <c r="T696" s="46"/>
      <c r="U696" s="36"/>
      <c r="V696" s="35"/>
      <c r="W696" s="38" t="str">
        <f t="shared" si="10"/>
        <v/>
      </c>
    </row>
    <row r="697" spans="1:23" x14ac:dyDescent="0.35">
      <c r="A697" s="46"/>
      <c r="B697" s="36"/>
      <c r="C697" s="35"/>
      <c r="D697" s="24"/>
      <c r="E697" s="35"/>
      <c r="F697" s="35"/>
      <c r="G697" s="36"/>
      <c r="H697" s="36"/>
      <c r="I697" s="36"/>
      <c r="J697" s="36"/>
      <c r="K697" s="36"/>
      <c r="L697" s="36"/>
      <c r="M697" s="36"/>
      <c r="N697" s="35"/>
      <c r="O697" s="35"/>
      <c r="P697" s="35"/>
      <c r="Q697" s="36"/>
      <c r="R697" s="36"/>
      <c r="S697" s="36"/>
      <c r="T697" s="46"/>
      <c r="U697" s="36"/>
      <c r="V697" s="35"/>
      <c r="W697" s="38" t="str">
        <f t="shared" si="10"/>
        <v/>
      </c>
    </row>
    <row r="698" spans="1:23" x14ac:dyDescent="0.35">
      <c r="A698" s="46"/>
      <c r="B698" s="36"/>
      <c r="C698" s="35"/>
      <c r="D698" s="24"/>
      <c r="E698" s="35"/>
      <c r="F698" s="35"/>
      <c r="G698" s="36"/>
      <c r="H698" s="36"/>
      <c r="I698" s="36"/>
      <c r="J698" s="36"/>
      <c r="K698" s="36"/>
      <c r="L698" s="36"/>
      <c r="M698" s="36"/>
      <c r="N698" s="35"/>
      <c r="O698" s="35"/>
      <c r="P698" s="35"/>
      <c r="Q698" s="36"/>
      <c r="R698" s="36"/>
      <c r="S698" s="36"/>
      <c r="T698" s="46"/>
      <c r="U698" s="36"/>
      <c r="V698" s="35"/>
      <c r="W698" s="38" t="str">
        <f t="shared" si="10"/>
        <v/>
      </c>
    </row>
    <row r="699" spans="1:23" x14ac:dyDescent="0.35">
      <c r="A699" s="46"/>
      <c r="B699" s="36"/>
      <c r="C699" s="35"/>
      <c r="D699" s="24"/>
      <c r="E699" s="35"/>
      <c r="F699" s="35"/>
      <c r="G699" s="36"/>
      <c r="H699" s="36"/>
      <c r="I699" s="36"/>
      <c r="J699" s="36"/>
      <c r="K699" s="36"/>
      <c r="L699" s="36"/>
      <c r="M699" s="36"/>
      <c r="N699" s="35"/>
      <c r="O699" s="35"/>
      <c r="P699" s="35"/>
      <c r="Q699" s="36"/>
      <c r="R699" s="36"/>
      <c r="S699" s="36"/>
      <c r="T699" s="46"/>
      <c r="U699" s="36"/>
      <c r="V699" s="35"/>
      <c r="W699" s="38" t="str">
        <f t="shared" si="10"/>
        <v/>
      </c>
    </row>
    <row r="700" spans="1:23" x14ac:dyDescent="0.35">
      <c r="A700" s="46"/>
      <c r="B700" s="36"/>
      <c r="C700" s="35"/>
      <c r="D700" s="24"/>
      <c r="E700" s="35"/>
      <c r="F700" s="35"/>
      <c r="G700" s="36"/>
      <c r="H700" s="36"/>
      <c r="I700" s="36"/>
      <c r="J700" s="36"/>
      <c r="K700" s="36"/>
      <c r="L700" s="36"/>
      <c r="M700" s="36"/>
      <c r="N700" s="35"/>
      <c r="O700" s="35"/>
      <c r="P700" s="35"/>
      <c r="Q700" s="36"/>
      <c r="R700" s="36"/>
      <c r="S700" s="36"/>
      <c r="T700" s="46"/>
      <c r="U700" s="36"/>
      <c r="V700" s="35"/>
      <c r="W700" s="38" t="str">
        <f t="shared" si="10"/>
        <v/>
      </c>
    </row>
    <row r="701" spans="1:23" x14ac:dyDescent="0.35">
      <c r="A701" s="46"/>
      <c r="B701" s="36"/>
      <c r="C701" s="35"/>
      <c r="D701" s="24"/>
      <c r="E701" s="35"/>
      <c r="F701" s="35"/>
      <c r="G701" s="36"/>
      <c r="H701" s="36"/>
      <c r="I701" s="36"/>
      <c r="J701" s="36"/>
      <c r="K701" s="36"/>
      <c r="L701" s="36"/>
      <c r="M701" s="36"/>
      <c r="N701" s="35"/>
      <c r="O701" s="35"/>
      <c r="P701" s="35"/>
      <c r="Q701" s="36"/>
      <c r="R701" s="36"/>
      <c r="S701" s="36"/>
      <c r="T701" s="46"/>
      <c r="U701" s="36"/>
      <c r="V701" s="35"/>
      <c r="W701" s="38" t="str">
        <f t="shared" si="10"/>
        <v/>
      </c>
    </row>
    <row r="702" spans="1:23" x14ac:dyDescent="0.35">
      <c r="A702" s="46"/>
      <c r="B702" s="36"/>
      <c r="C702" s="35"/>
      <c r="D702" s="24"/>
      <c r="E702" s="35"/>
      <c r="F702" s="35"/>
      <c r="G702" s="36"/>
      <c r="H702" s="36"/>
      <c r="I702" s="36"/>
      <c r="J702" s="36"/>
      <c r="K702" s="36"/>
      <c r="L702" s="36"/>
      <c r="M702" s="36"/>
      <c r="N702" s="35"/>
      <c r="O702" s="35"/>
      <c r="P702" s="35"/>
      <c r="Q702" s="36"/>
      <c r="R702" s="36"/>
      <c r="S702" s="36"/>
      <c r="T702" s="46"/>
      <c r="U702" s="36"/>
      <c r="V702" s="35"/>
      <c r="W702" s="38" t="str">
        <f t="shared" si="10"/>
        <v/>
      </c>
    </row>
    <row r="703" spans="1:23" x14ac:dyDescent="0.35">
      <c r="A703" s="46"/>
      <c r="B703" s="36"/>
      <c r="C703" s="35"/>
      <c r="D703" s="24"/>
      <c r="E703" s="35"/>
      <c r="F703" s="35"/>
      <c r="G703" s="36"/>
      <c r="H703" s="36"/>
      <c r="I703" s="36"/>
      <c r="J703" s="36"/>
      <c r="K703" s="36"/>
      <c r="L703" s="36"/>
      <c r="M703" s="36"/>
      <c r="N703" s="35"/>
      <c r="O703" s="35"/>
      <c r="P703" s="35"/>
      <c r="Q703" s="36"/>
      <c r="R703" s="36"/>
      <c r="S703" s="36"/>
      <c r="T703" s="46"/>
      <c r="U703" s="36"/>
      <c r="V703" s="35"/>
      <c r="W703" s="38" t="str">
        <f t="shared" si="10"/>
        <v/>
      </c>
    </row>
    <row r="704" spans="1:23" x14ac:dyDescent="0.35">
      <c r="A704" s="46"/>
      <c r="B704" s="36"/>
      <c r="C704" s="35"/>
      <c r="D704" s="24"/>
      <c r="E704" s="35"/>
      <c r="F704" s="35"/>
      <c r="G704" s="36"/>
      <c r="H704" s="36"/>
      <c r="I704" s="36"/>
      <c r="J704" s="36"/>
      <c r="K704" s="36"/>
      <c r="L704" s="36"/>
      <c r="M704" s="36"/>
      <c r="N704" s="35"/>
      <c r="O704" s="35"/>
      <c r="P704" s="35"/>
      <c r="Q704" s="36"/>
      <c r="R704" s="36"/>
      <c r="S704" s="36"/>
      <c r="T704" s="46"/>
      <c r="U704" s="36"/>
      <c r="V704" s="35"/>
      <c r="W704" s="38" t="str">
        <f t="shared" si="10"/>
        <v/>
      </c>
    </row>
    <row r="705" spans="1:23" x14ac:dyDescent="0.35">
      <c r="A705" s="46"/>
      <c r="B705" s="36"/>
      <c r="C705" s="35"/>
      <c r="D705" s="24"/>
      <c r="E705" s="35"/>
      <c r="F705" s="35"/>
      <c r="G705" s="36"/>
      <c r="H705" s="36"/>
      <c r="I705" s="36"/>
      <c r="J705" s="36"/>
      <c r="K705" s="36"/>
      <c r="L705" s="36"/>
      <c r="M705" s="36"/>
      <c r="N705" s="35"/>
      <c r="O705" s="35"/>
      <c r="P705" s="35"/>
      <c r="Q705" s="36"/>
      <c r="R705" s="36"/>
      <c r="S705" s="36"/>
      <c r="T705" s="46"/>
      <c r="U705" s="36"/>
      <c r="V705" s="35"/>
      <c r="W705" s="38" t="str">
        <f t="shared" si="10"/>
        <v/>
      </c>
    </row>
    <row r="706" spans="1:23" x14ac:dyDescent="0.35">
      <c r="A706" s="46"/>
      <c r="B706" s="36"/>
      <c r="C706" s="35"/>
      <c r="D706" s="24"/>
      <c r="E706" s="35"/>
      <c r="F706" s="35"/>
      <c r="G706" s="36"/>
      <c r="H706" s="36"/>
      <c r="I706" s="36"/>
      <c r="J706" s="36"/>
      <c r="K706" s="36"/>
      <c r="L706" s="36"/>
      <c r="M706" s="36"/>
      <c r="N706" s="35"/>
      <c r="O706" s="35"/>
      <c r="P706" s="35"/>
      <c r="Q706" s="36"/>
      <c r="R706" s="36"/>
      <c r="S706" s="36"/>
      <c r="T706" s="46"/>
      <c r="U706" s="36"/>
      <c r="V706" s="35"/>
      <c r="W706" s="38" t="str">
        <f t="shared" si="10"/>
        <v/>
      </c>
    </row>
    <row r="707" spans="1:23" x14ac:dyDescent="0.35">
      <c r="A707" s="46"/>
      <c r="B707" s="36"/>
      <c r="C707" s="35"/>
      <c r="D707" s="24"/>
      <c r="E707" s="35"/>
      <c r="F707" s="35"/>
      <c r="G707" s="36"/>
      <c r="H707" s="36"/>
      <c r="I707" s="36"/>
      <c r="J707" s="36"/>
      <c r="K707" s="36"/>
      <c r="L707" s="36"/>
      <c r="M707" s="36"/>
      <c r="N707" s="35"/>
      <c r="O707" s="35"/>
      <c r="P707" s="35"/>
      <c r="Q707" s="36"/>
      <c r="R707" s="36"/>
      <c r="S707" s="36"/>
      <c r="T707" s="46"/>
      <c r="U707" s="36"/>
      <c r="V707" s="35"/>
      <c r="W707" s="38" t="str">
        <f t="shared" si="10"/>
        <v/>
      </c>
    </row>
    <row r="708" spans="1:23" x14ac:dyDescent="0.35">
      <c r="A708" s="46"/>
      <c r="B708" s="36"/>
      <c r="C708" s="35"/>
      <c r="D708" s="24"/>
      <c r="E708" s="35"/>
      <c r="F708" s="35"/>
      <c r="G708" s="36"/>
      <c r="H708" s="36"/>
      <c r="I708" s="36"/>
      <c r="J708" s="36"/>
      <c r="K708" s="36"/>
      <c r="L708" s="36"/>
      <c r="M708" s="36"/>
      <c r="N708" s="35"/>
      <c r="O708" s="35"/>
      <c r="P708" s="35"/>
      <c r="Q708" s="36"/>
      <c r="R708" s="36"/>
      <c r="S708" s="36"/>
      <c r="T708" s="46"/>
      <c r="U708" s="36"/>
      <c r="V708" s="35"/>
      <c r="W708" s="38" t="str">
        <f t="shared" si="10"/>
        <v/>
      </c>
    </row>
    <row r="709" spans="1:23" x14ac:dyDescent="0.35">
      <c r="A709" s="46"/>
      <c r="B709" s="36"/>
      <c r="C709" s="35"/>
      <c r="D709" s="24"/>
      <c r="E709" s="35"/>
      <c r="F709" s="35"/>
      <c r="G709" s="36"/>
      <c r="H709" s="36"/>
      <c r="I709" s="36"/>
      <c r="J709" s="36"/>
      <c r="K709" s="36"/>
      <c r="L709" s="36"/>
      <c r="M709" s="36"/>
      <c r="N709" s="35"/>
      <c r="O709" s="35"/>
      <c r="P709" s="35"/>
      <c r="Q709" s="36"/>
      <c r="R709" s="36"/>
      <c r="S709" s="36"/>
      <c r="T709" s="46"/>
      <c r="U709" s="36"/>
      <c r="V709" s="35"/>
      <c r="W709" s="38" t="str">
        <f t="shared" si="10"/>
        <v/>
      </c>
    </row>
    <row r="710" spans="1:23" x14ac:dyDescent="0.35">
      <c r="A710" s="46"/>
      <c r="B710" s="36"/>
      <c r="C710" s="35"/>
      <c r="D710" s="24"/>
      <c r="E710" s="35"/>
      <c r="F710" s="35"/>
      <c r="G710" s="36"/>
      <c r="H710" s="36"/>
      <c r="I710" s="36"/>
      <c r="J710" s="36"/>
      <c r="K710" s="36"/>
      <c r="L710" s="36"/>
      <c r="M710" s="36"/>
      <c r="N710" s="35"/>
      <c r="O710" s="35"/>
      <c r="P710" s="35"/>
      <c r="Q710" s="36"/>
      <c r="R710" s="36"/>
      <c r="S710" s="36"/>
      <c r="T710" s="46"/>
      <c r="U710" s="36"/>
      <c r="V710" s="35"/>
      <c r="W710" s="38" t="str">
        <f t="shared" ref="W710:W773" si="11">IF(OR(A710="",C710=""),"",INT(A710)&amp;"|"&amp;C710)</f>
        <v/>
      </c>
    </row>
    <row r="711" spans="1:23" x14ac:dyDescent="0.35">
      <c r="A711" s="46"/>
      <c r="B711" s="36"/>
      <c r="C711" s="35"/>
      <c r="D711" s="24"/>
      <c r="E711" s="35"/>
      <c r="F711" s="35"/>
      <c r="G711" s="36"/>
      <c r="H711" s="36"/>
      <c r="I711" s="36"/>
      <c r="J711" s="36"/>
      <c r="K711" s="36"/>
      <c r="L711" s="36"/>
      <c r="M711" s="36"/>
      <c r="N711" s="35"/>
      <c r="O711" s="35"/>
      <c r="P711" s="35"/>
      <c r="Q711" s="36"/>
      <c r="R711" s="36"/>
      <c r="S711" s="36"/>
      <c r="T711" s="46"/>
      <c r="U711" s="36"/>
      <c r="V711" s="35"/>
      <c r="W711" s="38" t="str">
        <f t="shared" si="11"/>
        <v/>
      </c>
    </row>
    <row r="712" spans="1:23" x14ac:dyDescent="0.35">
      <c r="A712" s="46"/>
      <c r="B712" s="36"/>
      <c r="C712" s="35"/>
      <c r="D712" s="24"/>
      <c r="E712" s="35"/>
      <c r="F712" s="35"/>
      <c r="G712" s="36"/>
      <c r="H712" s="36"/>
      <c r="I712" s="36"/>
      <c r="J712" s="36"/>
      <c r="K712" s="36"/>
      <c r="L712" s="36"/>
      <c r="M712" s="36"/>
      <c r="N712" s="35"/>
      <c r="O712" s="35"/>
      <c r="P712" s="35"/>
      <c r="Q712" s="36"/>
      <c r="R712" s="36"/>
      <c r="S712" s="36"/>
      <c r="T712" s="46"/>
      <c r="U712" s="36"/>
      <c r="V712" s="35"/>
      <c r="W712" s="38" t="str">
        <f t="shared" si="11"/>
        <v/>
      </c>
    </row>
    <row r="713" spans="1:23" x14ac:dyDescent="0.35">
      <c r="A713" s="46"/>
      <c r="B713" s="36"/>
      <c r="C713" s="35"/>
      <c r="D713" s="24"/>
      <c r="E713" s="35"/>
      <c r="F713" s="35"/>
      <c r="G713" s="36"/>
      <c r="H713" s="36"/>
      <c r="I713" s="36"/>
      <c r="J713" s="36"/>
      <c r="K713" s="36"/>
      <c r="L713" s="36"/>
      <c r="M713" s="36"/>
      <c r="N713" s="35"/>
      <c r="O713" s="35"/>
      <c r="P713" s="35"/>
      <c r="Q713" s="36"/>
      <c r="R713" s="36"/>
      <c r="S713" s="36"/>
      <c r="T713" s="46"/>
      <c r="U713" s="36"/>
      <c r="V713" s="35"/>
      <c r="W713" s="38" t="str">
        <f t="shared" si="11"/>
        <v/>
      </c>
    </row>
    <row r="714" spans="1:23" x14ac:dyDescent="0.35">
      <c r="A714" s="46"/>
      <c r="B714" s="36"/>
      <c r="C714" s="35"/>
      <c r="D714" s="24"/>
      <c r="E714" s="35"/>
      <c r="F714" s="35"/>
      <c r="G714" s="36"/>
      <c r="H714" s="36"/>
      <c r="I714" s="36"/>
      <c r="J714" s="36"/>
      <c r="K714" s="36"/>
      <c r="L714" s="36"/>
      <c r="M714" s="36"/>
      <c r="N714" s="35"/>
      <c r="O714" s="35"/>
      <c r="P714" s="35"/>
      <c r="Q714" s="36"/>
      <c r="R714" s="36"/>
      <c r="S714" s="36"/>
      <c r="T714" s="46"/>
      <c r="U714" s="36"/>
      <c r="V714" s="35"/>
      <c r="W714" s="38" t="str">
        <f t="shared" si="11"/>
        <v/>
      </c>
    </row>
    <row r="715" spans="1:23" x14ac:dyDescent="0.35">
      <c r="A715" s="46"/>
      <c r="B715" s="36"/>
      <c r="C715" s="35"/>
      <c r="D715" s="24"/>
      <c r="E715" s="35"/>
      <c r="F715" s="35"/>
      <c r="G715" s="36"/>
      <c r="H715" s="36"/>
      <c r="I715" s="36"/>
      <c r="J715" s="36"/>
      <c r="K715" s="36"/>
      <c r="L715" s="36"/>
      <c r="M715" s="36"/>
      <c r="N715" s="35"/>
      <c r="O715" s="35"/>
      <c r="P715" s="35"/>
      <c r="Q715" s="36"/>
      <c r="R715" s="36"/>
      <c r="S715" s="36"/>
      <c r="T715" s="46"/>
      <c r="U715" s="36"/>
      <c r="V715" s="35"/>
      <c r="W715" s="38" t="str">
        <f t="shared" si="11"/>
        <v/>
      </c>
    </row>
    <row r="716" spans="1:23" x14ac:dyDescent="0.35">
      <c r="A716" s="46"/>
      <c r="B716" s="36"/>
      <c r="C716" s="35"/>
      <c r="D716" s="24"/>
      <c r="E716" s="35"/>
      <c r="F716" s="35"/>
      <c r="G716" s="36"/>
      <c r="H716" s="36"/>
      <c r="I716" s="36"/>
      <c r="J716" s="36"/>
      <c r="K716" s="36"/>
      <c r="L716" s="36"/>
      <c r="M716" s="36"/>
      <c r="N716" s="35"/>
      <c r="O716" s="35"/>
      <c r="P716" s="35"/>
      <c r="Q716" s="36"/>
      <c r="R716" s="36"/>
      <c r="S716" s="36"/>
      <c r="T716" s="46"/>
      <c r="U716" s="36"/>
      <c r="V716" s="35"/>
      <c r="W716" s="38" t="str">
        <f t="shared" si="11"/>
        <v/>
      </c>
    </row>
    <row r="717" spans="1:23" x14ac:dyDescent="0.35">
      <c r="A717" s="46"/>
      <c r="B717" s="36"/>
      <c r="C717" s="35"/>
      <c r="D717" s="24"/>
      <c r="E717" s="35"/>
      <c r="F717" s="35"/>
      <c r="G717" s="36"/>
      <c r="H717" s="36"/>
      <c r="I717" s="36"/>
      <c r="J717" s="36"/>
      <c r="K717" s="36"/>
      <c r="L717" s="36"/>
      <c r="M717" s="36"/>
      <c r="N717" s="35"/>
      <c r="O717" s="35"/>
      <c r="P717" s="35"/>
      <c r="Q717" s="36"/>
      <c r="R717" s="36"/>
      <c r="S717" s="36"/>
      <c r="T717" s="46"/>
      <c r="U717" s="36"/>
      <c r="V717" s="35"/>
      <c r="W717" s="38" t="str">
        <f t="shared" si="11"/>
        <v/>
      </c>
    </row>
    <row r="718" spans="1:23" x14ac:dyDescent="0.35">
      <c r="A718" s="46"/>
      <c r="B718" s="36"/>
      <c r="C718" s="35"/>
      <c r="D718" s="24"/>
      <c r="E718" s="35"/>
      <c r="F718" s="35"/>
      <c r="G718" s="36"/>
      <c r="H718" s="36"/>
      <c r="I718" s="36"/>
      <c r="J718" s="36"/>
      <c r="K718" s="36"/>
      <c r="L718" s="36"/>
      <c r="M718" s="36"/>
      <c r="N718" s="35"/>
      <c r="O718" s="35"/>
      <c r="P718" s="35"/>
      <c r="Q718" s="36"/>
      <c r="R718" s="36"/>
      <c r="S718" s="36"/>
      <c r="T718" s="46"/>
      <c r="U718" s="36"/>
      <c r="V718" s="35"/>
      <c r="W718" s="38" t="str">
        <f t="shared" si="11"/>
        <v/>
      </c>
    </row>
    <row r="719" spans="1:23" x14ac:dyDescent="0.35">
      <c r="A719" s="46"/>
      <c r="B719" s="36"/>
      <c r="C719" s="35"/>
      <c r="D719" s="24"/>
      <c r="E719" s="35"/>
      <c r="F719" s="35"/>
      <c r="G719" s="36"/>
      <c r="H719" s="36"/>
      <c r="I719" s="36"/>
      <c r="J719" s="36"/>
      <c r="K719" s="36"/>
      <c r="L719" s="36"/>
      <c r="M719" s="36"/>
      <c r="N719" s="35"/>
      <c r="O719" s="35"/>
      <c r="P719" s="35"/>
      <c r="Q719" s="36"/>
      <c r="R719" s="36"/>
      <c r="S719" s="36"/>
      <c r="T719" s="46"/>
      <c r="U719" s="36"/>
      <c r="V719" s="35"/>
      <c r="W719" s="38" t="str">
        <f t="shared" si="11"/>
        <v/>
      </c>
    </row>
    <row r="720" spans="1:23" x14ac:dyDescent="0.35">
      <c r="A720" s="46"/>
      <c r="B720" s="36"/>
      <c r="C720" s="35"/>
      <c r="D720" s="24"/>
      <c r="E720" s="35"/>
      <c r="F720" s="35"/>
      <c r="G720" s="36"/>
      <c r="H720" s="36"/>
      <c r="I720" s="36"/>
      <c r="J720" s="36"/>
      <c r="K720" s="36"/>
      <c r="L720" s="36"/>
      <c r="M720" s="36"/>
      <c r="N720" s="35"/>
      <c r="O720" s="35"/>
      <c r="P720" s="35"/>
      <c r="Q720" s="36"/>
      <c r="R720" s="36"/>
      <c r="S720" s="36"/>
      <c r="T720" s="46"/>
      <c r="U720" s="36"/>
      <c r="V720" s="35"/>
      <c r="W720" s="38" t="str">
        <f t="shared" si="11"/>
        <v/>
      </c>
    </row>
    <row r="721" spans="1:23" x14ac:dyDescent="0.35">
      <c r="A721" s="46"/>
      <c r="B721" s="36"/>
      <c r="C721" s="35"/>
      <c r="D721" s="24"/>
      <c r="E721" s="35"/>
      <c r="F721" s="35"/>
      <c r="G721" s="36"/>
      <c r="H721" s="36"/>
      <c r="I721" s="36"/>
      <c r="J721" s="36"/>
      <c r="K721" s="36"/>
      <c r="L721" s="36"/>
      <c r="M721" s="36"/>
      <c r="N721" s="35"/>
      <c r="O721" s="35"/>
      <c r="P721" s="35"/>
      <c r="Q721" s="36"/>
      <c r="R721" s="36"/>
      <c r="S721" s="36"/>
      <c r="T721" s="46"/>
      <c r="U721" s="36"/>
      <c r="V721" s="35"/>
      <c r="W721" s="38" t="str">
        <f t="shared" si="11"/>
        <v/>
      </c>
    </row>
    <row r="722" spans="1:23" x14ac:dyDescent="0.35">
      <c r="A722" s="46"/>
      <c r="B722" s="36"/>
      <c r="C722" s="35"/>
      <c r="D722" s="24"/>
      <c r="E722" s="35"/>
      <c r="F722" s="35"/>
      <c r="G722" s="36"/>
      <c r="H722" s="36"/>
      <c r="I722" s="36"/>
      <c r="J722" s="36"/>
      <c r="K722" s="36"/>
      <c r="L722" s="36"/>
      <c r="M722" s="36"/>
      <c r="N722" s="35"/>
      <c r="O722" s="35"/>
      <c r="P722" s="35"/>
      <c r="Q722" s="36"/>
      <c r="R722" s="36"/>
      <c r="S722" s="36"/>
      <c r="T722" s="46"/>
      <c r="U722" s="36"/>
      <c r="V722" s="35"/>
      <c r="W722" s="38" t="str">
        <f t="shared" si="11"/>
        <v/>
      </c>
    </row>
    <row r="723" spans="1:23" x14ac:dyDescent="0.35">
      <c r="A723" s="46"/>
      <c r="B723" s="36"/>
      <c r="C723" s="35"/>
      <c r="D723" s="24"/>
      <c r="E723" s="35"/>
      <c r="F723" s="35"/>
      <c r="G723" s="36"/>
      <c r="H723" s="36"/>
      <c r="I723" s="36"/>
      <c r="J723" s="36"/>
      <c r="K723" s="36"/>
      <c r="L723" s="36"/>
      <c r="M723" s="36"/>
      <c r="N723" s="35"/>
      <c r="O723" s="35"/>
      <c r="P723" s="35"/>
      <c r="Q723" s="36"/>
      <c r="R723" s="36"/>
      <c r="S723" s="36"/>
      <c r="T723" s="46"/>
      <c r="U723" s="36"/>
      <c r="V723" s="35"/>
      <c r="W723" s="38" t="str">
        <f t="shared" si="11"/>
        <v/>
      </c>
    </row>
    <row r="724" spans="1:23" x14ac:dyDescent="0.35">
      <c r="A724" s="46"/>
      <c r="B724" s="36"/>
      <c r="C724" s="35"/>
      <c r="D724" s="24"/>
      <c r="E724" s="35"/>
      <c r="F724" s="35"/>
      <c r="G724" s="36"/>
      <c r="H724" s="36"/>
      <c r="I724" s="36"/>
      <c r="J724" s="36"/>
      <c r="K724" s="36"/>
      <c r="L724" s="36"/>
      <c r="M724" s="36"/>
      <c r="N724" s="35"/>
      <c r="O724" s="35"/>
      <c r="P724" s="35"/>
      <c r="Q724" s="36"/>
      <c r="R724" s="36"/>
      <c r="S724" s="36"/>
      <c r="T724" s="46"/>
      <c r="U724" s="36"/>
      <c r="V724" s="35"/>
      <c r="W724" s="38" t="str">
        <f t="shared" si="11"/>
        <v/>
      </c>
    </row>
    <row r="725" spans="1:23" x14ac:dyDescent="0.35">
      <c r="A725" s="46"/>
      <c r="B725" s="36"/>
      <c r="C725" s="35"/>
      <c r="D725" s="24"/>
      <c r="E725" s="35"/>
      <c r="F725" s="35"/>
      <c r="G725" s="36"/>
      <c r="H725" s="36"/>
      <c r="I725" s="36"/>
      <c r="J725" s="36"/>
      <c r="K725" s="36"/>
      <c r="L725" s="36"/>
      <c r="M725" s="36"/>
      <c r="N725" s="35"/>
      <c r="O725" s="35"/>
      <c r="P725" s="35"/>
      <c r="Q725" s="36"/>
      <c r="R725" s="36"/>
      <c r="S725" s="36"/>
      <c r="T725" s="46"/>
      <c r="U725" s="36"/>
      <c r="V725" s="35"/>
      <c r="W725" s="38" t="str">
        <f t="shared" si="11"/>
        <v/>
      </c>
    </row>
    <row r="726" spans="1:23" x14ac:dyDescent="0.35">
      <c r="A726" s="46"/>
      <c r="B726" s="36"/>
      <c r="C726" s="35"/>
      <c r="D726" s="24"/>
      <c r="E726" s="35"/>
      <c r="F726" s="35"/>
      <c r="G726" s="36"/>
      <c r="H726" s="36"/>
      <c r="I726" s="36"/>
      <c r="J726" s="36"/>
      <c r="K726" s="36"/>
      <c r="L726" s="36"/>
      <c r="M726" s="36"/>
      <c r="N726" s="35"/>
      <c r="O726" s="35"/>
      <c r="P726" s="35"/>
      <c r="Q726" s="36"/>
      <c r="R726" s="36"/>
      <c r="S726" s="36"/>
      <c r="T726" s="46"/>
      <c r="U726" s="36"/>
      <c r="V726" s="35"/>
      <c r="W726" s="38" t="str">
        <f t="shared" si="11"/>
        <v/>
      </c>
    </row>
    <row r="727" spans="1:23" x14ac:dyDescent="0.35">
      <c r="A727" s="46"/>
      <c r="B727" s="36"/>
      <c r="C727" s="35"/>
      <c r="D727" s="24"/>
      <c r="E727" s="35"/>
      <c r="F727" s="35"/>
      <c r="G727" s="36"/>
      <c r="H727" s="36"/>
      <c r="I727" s="36"/>
      <c r="J727" s="36"/>
      <c r="K727" s="36"/>
      <c r="L727" s="36"/>
      <c r="M727" s="36"/>
      <c r="N727" s="35"/>
      <c r="O727" s="35"/>
      <c r="P727" s="35"/>
      <c r="Q727" s="36"/>
      <c r="R727" s="36"/>
      <c r="S727" s="36"/>
      <c r="T727" s="46"/>
      <c r="U727" s="36"/>
      <c r="V727" s="35"/>
      <c r="W727" s="38" t="str">
        <f t="shared" si="11"/>
        <v/>
      </c>
    </row>
    <row r="728" spans="1:23" x14ac:dyDescent="0.35">
      <c r="A728" s="46"/>
      <c r="B728" s="36"/>
      <c r="C728" s="35"/>
      <c r="D728" s="24"/>
      <c r="E728" s="35"/>
      <c r="F728" s="35"/>
      <c r="G728" s="36"/>
      <c r="H728" s="36"/>
      <c r="I728" s="36"/>
      <c r="J728" s="36"/>
      <c r="K728" s="36"/>
      <c r="L728" s="36"/>
      <c r="M728" s="36"/>
      <c r="N728" s="35"/>
      <c r="O728" s="35"/>
      <c r="P728" s="35"/>
      <c r="Q728" s="36"/>
      <c r="R728" s="36"/>
      <c r="S728" s="36"/>
      <c r="T728" s="46"/>
      <c r="U728" s="36"/>
      <c r="V728" s="35"/>
      <c r="W728" s="38" t="str">
        <f t="shared" si="11"/>
        <v/>
      </c>
    </row>
    <row r="729" spans="1:23" x14ac:dyDescent="0.35">
      <c r="A729" s="46"/>
      <c r="B729" s="36"/>
      <c r="C729" s="35"/>
      <c r="D729" s="24"/>
      <c r="E729" s="35"/>
      <c r="F729" s="35"/>
      <c r="G729" s="36"/>
      <c r="H729" s="36"/>
      <c r="I729" s="36"/>
      <c r="J729" s="36"/>
      <c r="K729" s="36"/>
      <c r="L729" s="36"/>
      <c r="M729" s="36"/>
      <c r="N729" s="35"/>
      <c r="O729" s="35"/>
      <c r="P729" s="35"/>
      <c r="Q729" s="36"/>
      <c r="R729" s="36"/>
      <c r="S729" s="36"/>
      <c r="T729" s="46"/>
      <c r="U729" s="36"/>
      <c r="V729" s="35"/>
      <c r="W729" s="38" t="str">
        <f t="shared" si="11"/>
        <v/>
      </c>
    </row>
    <row r="730" spans="1:23" x14ac:dyDescent="0.35">
      <c r="A730" s="46"/>
      <c r="B730" s="36"/>
      <c r="C730" s="35"/>
      <c r="D730" s="24"/>
      <c r="E730" s="35"/>
      <c r="F730" s="35"/>
      <c r="G730" s="36"/>
      <c r="H730" s="36"/>
      <c r="I730" s="36"/>
      <c r="J730" s="36"/>
      <c r="K730" s="36"/>
      <c r="L730" s="36"/>
      <c r="M730" s="36"/>
      <c r="N730" s="35"/>
      <c r="O730" s="35"/>
      <c r="P730" s="35"/>
      <c r="Q730" s="36"/>
      <c r="R730" s="36"/>
      <c r="S730" s="36"/>
      <c r="T730" s="46"/>
      <c r="U730" s="36"/>
      <c r="V730" s="35"/>
      <c r="W730" s="38" t="str">
        <f t="shared" si="11"/>
        <v/>
      </c>
    </row>
    <row r="731" spans="1:23" x14ac:dyDescent="0.35">
      <c r="A731" s="46"/>
      <c r="B731" s="36"/>
      <c r="C731" s="35"/>
      <c r="D731" s="24"/>
      <c r="E731" s="35"/>
      <c r="F731" s="35"/>
      <c r="G731" s="36"/>
      <c r="H731" s="36"/>
      <c r="I731" s="36"/>
      <c r="J731" s="36"/>
      <c r="K731" s="36"/>
      <c r="L731" s="36"/>
      <c r="M731" s="36"/>
      <c r="N731" s="35"/>
      <c r="O731" s="35"/>
      <c r="P731" s="35"/>
      <c r="Q731" s="36"/>
      <c r="R731" s="36"/>
      <c r="S731" s="36"/>
      <c r="T731" s="46"/>
      <c r="U731" s="36"/>
      <c r="V731" s="35"/>
      <c r="W731" s="38" t="str">
        <f t="shared" si="11"/>
        <v/>
      </c>
    </row>
    <row r="732" spans="1:23" x14ac:dyDescent="0.35">
      <c r="A732" s="46"/>
      <c r="B732" s="36"/>
      <c r="C732" s="35"/>
      <c r="D732" s="24"/>
      <c r="E732" s="35"/>
      <c r="F732" s="35"/>
      <c r="G732" s="36"/>
      <c r="H732" s="36"/>
      <c r="I732" s="36"/>
      <c r="J732" s="36"/>
      <c r="K732" s="36"/>
      <c r="L732" s="36"/>
      <c r="M732" s="36"/>
      <c r="N732" s="35"/>
      <c r="O732" s="35"/>
      <c r="P732" s="35"/>
      <c r="Q732" s="36"/>
      <c r="R732" s="36"/>
      <c r="S732" s="36"/>
      <c r="T732" s="46"/>
      <c r="U732" s="36"/>
      <c r="V732" s="35"/>
      <c r="W732" s="38" t="str">
        <f t="shared" si="11"/>
        <v/>
      </c>
    </row>
    <row r="733" spans="1:23" x14ac:dyDescent="0.35">
      <c r="A733" s="46"/>
      <c r="B733" s="36"/>
      <c r="C733" s="35"/>
      <c r="D733" s="24"/>
      <c r="E733" s="35"/>
      <c r="F733" s="35"/>
      <c r="G733" s="36"/>
      <c r="H733" s="36"/>
      <c r="I733" s="36"/>
      <c r="J733" s="36"/>
      <c r="K733" s="36"/>
      <c r="L733" s="36"/>
      <c r="M733" s="36"/>
      <c r="N733" s="35"/>
      <c r="O733" s="35"/>
      <c r="P733" s="35"/>
      <c r="Q733" s="36"/>
      <c r="R733" s="36"/>
      <c r="S733" s="36"/>
      <c r="T733" s="46"/>
      <c r="U733" s="36"/>
      <c r="V733" s="35"/>
      <c r="W733" s="38" t="str">
        <f t="shared" si="11"/>
        <v/>
      </c>
    </row>
    <row r="734" spans="1:23" x14ac:dyDescent="0.35">
      <c r="A734" s="46"/>
      <c r="B734" s="36"/>
      <c r="C734" s="35"/>
      <c r="D734" s="24"/>
      <c r="E734" s="35"/>
      <c r="F734" s="35"/>
      <c r="G734" s="36"/>
      <c r="H734" s="36"/>
      <c r="I734" s="36"/>
      <c r="J734" s="36"/>
      <c r="K734" s="36"/>
      <c r="L734" s="36"/>
      <c r="M734" s="36"/>
      <c r="N734" s="35"/>
      <c r="O734" s="35"/>
      <c r="P734" s="35"/>
      <c r="Q734" s="36"/>
      <c r="R734" s="36"/>
      <c r="S734" s="36"/>
      <c r="T734" s="46"/>
      <c r="U734" s="36"/>
      <c r="V734" s="35"/>
      <c r="W734" s="38" t="str">
        <f t="shared" si="11"/>
        <v/>
      </c>
    </row>
    <row r="735" spans="1:23" x14ac:dyDescent="0.35">
      <c r="A735" s="46"/>
      <c r="B735" s="36"/>
      <c r="C735" s="35"/>
      <c r="D735" s="24"/>
      <c r="E735" s="35"/>
      <c r="F735" s="35"/>
      <c r="G735" s="36"/>
      <c r="H735" s="36"/>
      <c r="I735" s="36"/>
      <c r="J735" s="36"/>
      <c r="K735" s="36"/>
      <c r="L735" s="36"/>
      <c r="M735" s="36"/>
      <c r="N735" s="35"/>
      <c r="O735" s="35"/>
      <c r="P735" s="35"/>
      <c r="Q735" s="36"/>
      <c r="R735" s="36"/>
      <c r="S735" s="36"/>
      <c r="T735" s="46"/>
      <c r="U735" s="36"/>
      <c r="V735" s="35"/>
      <c r="W735" s="38" t="str">
        <f t="shared" si="11"/>
        <v/>
      </c>
    </row>
    <row r="736" spans="1:23" x14ac:dyDescent="0.35">
      <c r="A736" s="46"/>
      <c r="B736" s="36"/>
      <c r="C736" s="35"/>
      <c r="D736" s="24"/>
      <c r="E736" s="35"/>
      <c r="F736" s="35"/>
      <c r="G736" s="36"/>
      <c r="H736" s="36"/>
      <c r="I736" s="36"/>
      <c r="J736" s="36"/>
      <c r="K736" s="36"/>
      <c r="L736" s="36"/>
      <c r="M736" s="36"/>
      <c r="N736" s="35"/>
      <c r="O736" s="35"/>
      <c r="P736" s="35"/>
      <c r="Q736" s="36"/>
      <c r="R736" s="36"/>
      <c r="S736" s="36"/>
      <c r="T736" s="46"/>
      <c r="U736" s="36"/>
      <c r="V736" s="35"/>
      <c r="W736" s="38" t="str">
        <f t="shared" si="11"/>
        <v/>
      </c>
    </row>
    <row r="737" spans="1:23" x14ac:dyDescent="0.35">
      <c r="A737" s="46"/>
      <c r="B737" s="36"/>
      <c r="C737" s="35"/>
      <c r="D737" s="24"/>
      <c r="E737" s="35"/>
      <c r="F737" s="35"/>
      <c r="G737" s="36"/>
      <c r="H737" s="36"/>
      <c r="I737" s="36"/>
      <c r="J737" s="36"/>
      <c r="K737" s="36"/>
      <c r="L737" s="36"/>
      <c r="M737" s="36"/>
      <c r="N737" s="35"/>
      <c r="O737" s="35"/>
      <c r="P737" s="35"/>
      <c r="Q737" s="36"/>
      <c r="R737" s="36"/>
      <c r="S737" s="36"/>
      <c r="T737" s="46"/>
      <c r="U737" s="36"/>
      <c r="V737" s="35"/>
      <c r="W737" s="38" t="str">
        <f t="shared" si="11"/>
        <v/>
      </c>
    </row>
    <row r="738" spans="1:23" x14ac:dyDescent="0.35">
      <c r="A738" s="46"/>
      <c r="B738" s="36"/>
      <c r="C738" s="35"/>
      <c r="D738" s="24"/>
      <c r="E738" s="35"/>
      <c r="F738" s="35"/>
      <c r="G738" s="36"/>
      <c r="H738" s="36"/>
      <c r="I738" s="36"/>
      <c r="J738" s="36"/>
      <c r="K738" s="36"/>
      <c r="L738" s="36"/>
      <c r="M738" s="36"/>
      <c r="N738" s="35"/>
      <c r="O738" s="35"/>
      <c r="P738" s="35"/>
      <c r="Q738" s="36"/>
      <c r="R738" s="36"/>
      <c r="S738" s="36"/>
      <c r="T738" s="46"/>
      <c r="U738" s="36"/>
      <c r="V738" s="35"/>
      <c r="W738" s="38" t="str">
        <f t="shared" si="11"/>
        <v/>
      </c>
    </row>
    <row r="739" spans="1:23" x14ac:dyDescent="0.35">
      <c r="A739" s="46"/>
      <c r="B739" s="36"/>
      <c r="C739" s="35"/>
      <c r="D739" s="24"/>
      <c r="E739" s="35"/>
      <c r="F739" s="35"/>
      <c r="G739" s="36"/>
      <c r="H739" s="36"/>
      <c r="I739" s="36"/>
      <c r="J739" s="36"/>
      <c r="K739" s="36"/>
      <c r="L739" s="36"/>
      <c r="M739" s="36"/>
      <c r="N739" s="35"/>
      <c r="O739" s="35"/>
      <c r="P739" s="35"/>
      <c r="Q739" s="36"/>
      <c r="R739" s="36"/>
      <c r="S739" s="36"/>
      <c r="T739" s="46"/>
      <c r="U739" s="36"/>
      <c r="V739" s="35"/>
      <c r="W739" s="38" t="str">
        <f t="shared" si="11"/>
        <v/>
      </c>
    </row>
    <row r="740" spans="1:23" x14ac:dyDescent="0.35">
      <c r="A740" s="46"/>
      <c r="B740" s="36"/>
      <c r="C740" s="35"/>
      <c r="D740" s="24"/>
      <c r="E740" s="35"/>
      <c r="F740" s="35"/>
      <c r="G740" s="36"/>
      <c r="H740" s="36"/>
      <c r="I740" s="36"/>
      <c r="J740" s="36"/>
      <c r="K740" s="36"/>
      <c r="L740" s="36"/>
      <c r="M740" s="36"/>
      <c r="N740" s="35"/>
      <c r="O740" s="35"/>
      <c r="P740" s="35"/>
      <c r="Q740" s="36"/>
      <c r="R740" s="36"/>
      <c r="S740" s="36"/>
      <c r="T740" s="46"/>
      <c r="U740" s="36"/>
      <c r="V740" s="35"/>
      <c r="W740" s="38" t="str">
        <f t="shared" si="11"/>
        <v/>
      </c>
    </row>
    <row r="741" spans="1:23" x14ac:dyDescent="0.35">
      <c r="A741" s="46"/>
      <c r="B741" s="36"/>
      <c r="C741" s="35"/>
      <c r="D741" s="24"/>
      <c r="E741" s="35"/>
      <c r="F741" s="35"/>
      <c r="G741" s="36"/>
      <c r="H741" s="36"/>
      <c r="I741" s="36"/>
      <c r="J741" s="36"/>
      <c r="K741" s="36"/>
      <c r="L741" s="36"/>
      <c r="M741" s="36"/>
      <c r="N741" s="35"/>
      <c r="O741" s="35"/>
      <c r="P741" s="35"/>
      <c r="Q741" s="36"/>
      <c r="R741" s="36"/>
      <c r="S741" s="36"/>
      <c r="T741" s="46"/>
      <c r="U741" s="36"/>
      <c r="V741" s="35"/>
      <c r="W741" s="38" t="str">
        <f t="shared" si="11"/>
        <v/>
      </c>
    </row>
    <row r="742" spans="1:23" x14ac:dyDescent="0.35">
      <c r="A742" s="46"/>
      <c r="B742" s="36"/>
      <c r="C742" s="35"/>
      <c r="D742" s="24"/>
      <c r="E742" s="35"/>
      <c r="F742" s="35"/>
      <c r="G742" s="36"/>
      <c r="H742" s="36"/>
      <c r="I742" s="36"/>
      <c r="J742" s="36"/>
      <c r="K742" s="36"/>
      <c r="L742" s="36"/>
      <c r="M742" s="36"/>
      <c r="N742" s="35"/>
      <c r="O742" s="35"/>
      <c r="P742" s="35"/>
      <c r="Q742" s="36"/>
      <c r="R742" s="36"/>
      <c r="S742" s="36"/>
      <c r="T742" s="46"/>
      <c r="U742" s="36"/>
      <c r="V742" s="35"/>
      <c r="W742" s="38" t="str">
        <f t="shared" si="11"/>
        <v/>
      </c>
    </row>
    <row r="743" spans="1:23" x14ac:dyDescent="0.35">
      <c r="A743" s="46"/>
      <c r="B743" s="36"/>
      <c r="C743" s="35"/>
      <c r="D743" s="24"/>
      <c r="E743" s="35"/>
      <c r="F743" s="35"/>
      <c r="G743" s="36"/>
      <c r="H743" s="36"/>
      <c r="I743" s="36"/>
      <c r="J743" s="36"/>
      <c r="K743" s="36"/>
      <c r="L743" s="36"/>
      <c r="M743" s="36"/>
      <c r="N743" s="35"/>
      <c r="O743" s="35"/>
      <c r="P743" s="35"/>
      <c r="Q743" s="36"/>
      <c r="R743" s="36"/>
      <c r="S743" s="36"/>
      <c r="T743" s="46"/>
      <c r="U743" s="36"/>
      <c r="V743" s="35"/>
      <c r="W743" s="38" t="str">
        <f t="shared" si="11"/>
        <v/>
      </c>
    </row>
    <row r="744" spans="1:23" x14ac:dyDescent="0.35">
      <c r="A744" s="46"/>
      <c r="B744" s="36"/>
      <c r="C744" s="35"/>
      <c r="D744" s="24"/>
      <c r="E744" s="35"/>
      <c r="F744" s="35"/>
      <c r="G744" s="36"/>
      <c r="H744" s="36"/>
      <c r="I744" s="36"/>
      <c r="J744" s="36"/>
      <c r="K744" s="36"/>
      <c r="L744" s="36"/>
      <c r="M744" s="36"/>
      <c r="N744" s="35"/>
      <c r="O744" s="35"/>
      <c r="P744" s="35"/>
      <c r="Q744" s="36"/>
      <c r="R744" s="36"/>
      <c r="S744" s="36"/>
      <c r="T744" s="46"/>
      <c r="U744" s="36"/>
      <c r="V744" s="35"/>
      <c r="W744" s="38" t="str">
        <f t="shared" si="11"/>
        <v/>
      </c>
    </row>
    <row r="745" spans="1:23" x14ac:dyDescent="0.35">
      <c r="A745" s="46"/>
      <c r="B745" s="36"/>
      <c r="C745" s="35"/>
      <c r="D745" s="24"/>
      <c r="E745" s="35"/>
      <c r="F745" s="35"/>
      <c r="G745" s="36"/>
      <c r="H745" s="36"/>
      <c r="I745" s="36"/>
      <c r="J745" s="36"/>
      <c r="K745" s="36"/>
      <c r="L745" s="36"/>
      <c r="M745" s="36"/>
      <c r="N745" s="35"/>
      <c r="O745" s="35"/>
      <c r="P745" s="35"/>
      <c r="Q745" s="36"/>
      <c r="R745" s="36"/>
      <c r="S745" s="36"/>
      <c r="T745" s="46"/>
      <c r="U745" s="36"/>
      <c r="V745" s="35"/>
      <c r="W745" s="38" t="str">
        <f t="shared" si="11"/>
        <v/>
      </c>
    </row>
    <row r="746" spans="1:23" x14ac:dyDescent="0.35">
      <c r="A746" s="46"/>
      <c r="B746" s="36"/>
      <c r="C746" s="35"/>
      <c r="D746" s="24"/>
      <c r="E746" s="35"/>
      <c r="F746" s="35"/>
      <c r="G746" s="36"/>
      <c r="H746" s="36"/>
      <c r="I746" s="36"/>
      <c r="J746" s="36"/>
      <c r="K746" s="36"/>
      <c r="L746" s="36"/>
      <c r="M746" s="36"/>
      <c r="N746" s="35"/>
      <c r="O746" s="35"/>
      <c r="P746" s="35"/>
      <c r="Q746" s="36"/>
      <c r="R746" s="36"/>
      <c r="S746" s="36"/>
      <c r="T746" s="46"/>
      <c r="U746" s="36"/>
      <c r="V746" s="35"/>
      <c r="W746" s="38" t="str">
        <f t="shared" si="11"/>
        <v/>
      </c>
    </row>
    <row r="747" spans="1:23" x14ac:dyDescent="0.35">
      <c r="A747" s="46"/>
      <c r="B747" s="36"/>
      <c r="C747" s="35"/>
      <c r="D747" s="24"/>
      <c r="E747" s="35"/>
      <c r="F747" s="35"/>
      <c r="G747" s="36"/>
      <c r="H747" s="36"/>
      <c r="I747" s="36"/>
      <c r="J747" s="36"/>
      <c r="K747" s="36"/>
      <c r="L747" s="36"/>
      <c r="M747" s="36"/>
      <c r="N747" s="35"/>
      <c r="O747" s="35"/>
      <c r="P747" s="35"/>
      <c r="Q747" s="36"/>
      <c r="R747" s="36"/>
      <c r="S747" s="36"/>
      <c r="T747" s="46"/>
      <c r="U747" s="36"/>
      <c r="V747" s="35"/>
      <c r="W747" s="38" t="str">
        <f t="shared" si="11"/>
        <v/>
      </c>
    </row>
    <row r="748" spans="1:23" x14ac:dyDescent="0.35">
      <c r="A748" s="46"/>
      <c r="B748" s="36"/>
      <c r="C748" s="35"/>
      <c r="D748" s="24"/>
      <c r="E748" s="35"/>
      <c r="F748" s="35"/>
      <c r="G748" s="36"/>
      <c r="H748" s="36"/>
      <c r="I748" s="36"/>
      <c r="J748" s="36"/>
      <c r="K748" s="36"/>
      <c r="L748" s="36"/>
      <c r="M748" s="36"/>
      <c r="N748" s="35"/>
      <c r="O748" s="35"/>
      <c r="P748" s="35"/>
      <c r="Q748" s="36"/>
      <c r="R748" s="36"/>
      <c r="S748" s="36"/>
      <c r="T748" s="46"/>
      <c r="U748" s="36"/>
      <c r="V748" s="35"/>
      <c r="W748" s="38" t="str">
        <f t="shared" si="11"/>
        <v/>
      </c>
    </row>
    <row r="749" spans="1:23" x14ac:dyDescent="0.35">
      <c r="A749" s="46"/>
      <c r="B749" s="36"/>
      <c r="C749" s="35"/>
      <c r="D749" s="24"/>
      <c r="E749" s="35"/>
      <c r="F749" s="35"/>
      <c r="G749" s="36"/>
      <c r="H749" s="36"/>
      <c r="I749" s="36"/>
      <c r="J749" s="36"/>
      <c r="K749" s="36"/>
      <c r="L749" s="36"/>
      <c r="M749" s="36"/>
      <c r="N749" s="35"/>
      <c r="O749" s="35"/>
      <c r="P749" s="35"/>
      <c r="Q749" s="36"/>
      <c r="R749" s="36"/>
      <c r="S749" s="36"/>
      <c r="T749" s="46"/>
      <c r="U749" s="36"/>
      <c r="V749" s="35"/>
      <c r="W749" s="38" t="str">
        <f t="shared" si="11"/>
        <v/>
      </c>
    </row>
    <row r="750" spans="1:23" x14ac:dyDescent="0.35">
      <c r="A750" s="46"/>
      <c r="B750" s="36"/>
      <c r="C750" s="35"/>
      <c r="D750" s="24"/>
      <c r="E750" s="35"/>
      <c r="F750" s="35"/>
      <c r="G750" s="36"/>
      <c r="H750" s="36"/>
      <c r="I750" s="36"/>
      <c r="J750" s="36"/>
      <c r="K750" s="36"/>
      <c r="L750" s="36"/>
      <c r="M750" s="36"/>
      <c r="N750" s="35"/>
      <c r="O750" s="35"/>
      <c r="P750" s="35"/>
      <c r="Q750" s="36"/>
      <c r="R750" s="36"/>
      <c r="S750" s="36"/>
      <c r="T750" s="46"/>
      <c r="U750" s="36"/>
      <c r="V750" s="35"/>
      <c r="W750" s="38" t="str">
        <f t="shared" si="11"/>
        <v/>
      </c>
    </row>
    <row r="751" spans="1:23" x14ac:dyDescent="0.35">
      <c r="A751" s="46"/>
      <c r="B751" s="36"/>
      <c r="C751" s="35"/>
      <c r="D751" s="24"/>
      <c r="E751" s="35"/>
      <c r="F751" s="35"/>
      <c r="G751" s="36"/>
      <c r="H751" s="36"/>
      <c r="I751" s="36"/>
      <c r="J751" s="36"/>
      <c r="K751" s="36"/>
      <c r="L751" s="36"/>
      <c r="M751" s="36"/>
      <c r="N751" s="35"/>
      <c r="O751" s="35"/>
      <c r="P751" s="35"/>
      <c r="Q751" s="36"/>
      <c r="R751" s="36"/>
      <c r="S751" s="36"/>
      <c r="T751" s="46"/>
      <c r="U751" s="36"/>
      <c r="V751" s="35"/>
      <c r="W751" s="38" t="str">
        <f t="shared" si="11"/>
        <v/>
      </c>
    </row>
    <row r="752" spans="1:23" x14ac:dyDescent="0.35">
      <c r="A752" s="46"/>
      <c r="B752" s="36"/>
      <c r="C752" s="35"/>
      <c r="D752" s="24"/>
      <c r="E752" s="35"/>
      <c r="F752" s="35"/>
      <c r="G752" s="36"/>
      <c r="H752" s="36"/>
      <c r="I752" s="36"/>
      <c r="J752" s="36"/>
      <c r="K752" s="36"/>
      <c r="L752" s="36"/>
      <c r="M752" s="36"/>
      <c r="N752" s="35"/>
      <c r="O752" s="35"/>
      <c r="P752" s="35"/>
      <c r="Q752" s="36"/>
      <c r="R752" s="36"/>
      <c r="S752" s="36"/>
      <c r="T752" s="46"/>
      <c r="U752" s="36"/>
      <c r="V752" s="35"/>
      <c r="W752" s="38" t="str">
        <f t="shared" si="11"/>
        <v/>
      </c>
    </row>
    <row r="753" spans="1:23" x14ac:dyDescent="0.35">
      <c r="A753" s="46"/>
      <c r="B753" s="36"/>
      <c r="C753" s="35"/>
      <c r="D753" s="24"/>
      <c r="E753" s="35"/>
      <c r="F753" s="35"/>
      <c r="G753" s="36"/>
      <c r="H753" s="36"/>
      <c r="I753" s="36"/>
      <c r="J753" s="36"/>
      <c r="K753" s="36"/>
      <c r="L753" s="36"/>
      <c r="M753" s="36"/>
      <c r="N753" s="35"/>
      <c r="O753" s="35"/>
      <c r="P753" s="35"/>
      <c r="Q753" s="36"/>
      <c r="R753" s="36"/>
      <c r="S753" s="36"/>
      <c r="T753" s="46"/>
      <c r="U753" s="36"/>
      <c r="V753" s="35"/>
      <c r="W753" s="38" t="str">
        <f t="shared" si="11"/>
        <v/>
      </c>
    </row>
    <row r="754" spans="1:23" x14ac:dyDescent="0.35">
      <c r="A754" s="46"/>
      <c r="B754" s="36"/>
      <c r="C754" s="35"/>
      <c r="D754" s="24"/>
      <c r="E754" s="35"/>
      <c r="F754" s="35"/>
      <c r="G754" s="36"/>
      <c r="H754" s="36"/>
      <c r="I754" s="36"/>
      <c r="J754" s="36"/>
      <c r="K754" s="36"/>
      <c r="L754" s="36"/>
      <c r="M754" s="36"/>
      <c r="N754" s="35"/>
      <c r="O754" s="35"/>
      <c r="P754" s="35"/>
      <c r="Q754" s="36"/>
      <c r="R754" s="36"/>
      <c r="S754" s="36"/>
      <c r="T754" s="46"/>
      <c r="U754" s="36"/>
      <c r="V754" s="35"/>
      <c r="W754" s="38" t="str">
        <f t="shared" si="11"/>
        <v/>
      </c>
    </row>
    <row r="755" spans="1:23" x14ac:dyDescent="0.35">
      <c r="A755" s="46"/>
      <c r="B755" s="36"/>
      <c r="C755" s="35"/>
      <c r="D755" s="24"/>
      <c r="E755" s="35"/>
      <c r="F755" s="35"/>
      <c r="G755" s="36"/>
      <c r="H755" s="36"/>
      <c r="I755" s="36"/>
      <c r="J755" s="36"/>
      <c r="K755" s="36"/>
      <c r="L755" s="36"/>
      <c r="M755" s="36"/>
      <c r="N755" s="35"/>
      <c r="O755" s="35"/>
      <c r="P755" s="35"/>
      <c r="Q755" s="36"/>
      <c r="R755" s="36"/>
      <c r="S755" s="36"/>
      <c r="T755" s="46"/>
      <c r="U755" s="36"/>
      <c r="V755" s="35"/>
      <c r="W755" s="38" t="str">
        <f t="shared" si="11"/>
        <v/>
      </c>
    </row>
    <row r="756" spans="1:23" x14ac:dyDescent="0.35">
      <c r="A756" s="46"/>
      <c r="B756" s="36"/>
      <c r="C756" s="35"/>
      <c r="D756" s="24"/>
      <c r="E756" s="35"/>
      <c r="F756" s="35"/>
      <c r="G756" s="36"/>
      <c r="H756" s="36"/>
      <c r="I756" s="36"/>
      <c r="J756" s="36"/>
      <c r="K756" s="36"/>
      <c r="L756" s="36"/>
      <c r="M756" s="36"/>
      <c r="N756" s="35"/>
      <c r="O756" s="35"/>
      <c r="P756" s="35"/>
      <c r="Q756" s="36"/>
      <c r="R756" s="36"/>
      <c r="S756" s="36"/>
      <c r="T756" s="46"/>
      <c r="U756" s="36"/>
      <c r="V756" s="35"/>
      <c r="W756" s="38" t="str">
        <f t="shared" si="11"/>
        <v/>
      </c>
    </row>
    <row r="757" spans="1:23" x14ac:dyDescent="0.35">
      <c r="A757" s="46"/>
      <c r="B757" s="36"/>
      <c r="C757" s="35"/>
      <c r="D757" s="24"/>
      <c r="E757" s="35"/>
      <c r="F757" s="35"/>
      <c r="G757" s="36"/>
      <c r="H757" s="36"/>
      <c r="I757" s="36"/>
      <c r="J757" s="36"/>
      <c r="K757" s="36"/>
      <c r="L757" s="36"/>
      <c r="M757" s="36"/>
      <c r="N757" s="35"/>
      <c r="O757" s="35"/>
      <c r="P757" s="35"/>
      <c r="Q757" s="36"/>
      <c r="R757" s="36"/>
      <c r="S757" s="36"/>
      <c r="T757" s="46"/>
      <c r="U757" s="36"/>
      <c r="V757" s="35"/>
      <c r="W757" s="38" t="str">
        <f t="shared" si="11"/>
        <v/>
      </c>
    </row>
    <row r="758" spans="1:23" x14ac:dyDescent="0.35">
      <c r="A758" s="46"/>
      <c r="B758" s="36"/>
      <c r="C758" s="35"/>
      <c r="D758" s="24"/>
      <c r="E758" s="35"/>
      <c r="F758" s="35"/>
      <c r="G758" s="36"/>
      <c r="H758" s="36"/>
      <c r="I758" s="36"/>
      <c r="J758" s="36"/>
      <c r="K758" s="36"/>
      <c r="L758" s="36"/>
      <c r="M758" s="36"/>
      <c r="N758" s="35"/>
      <c r="O758" s="35"/>
      <c r="P758" s="35"/>
      <c r="Q758" s="36"/>
      <c r="R758" s="36"/>
      <c r="S758" s="36"/>
      <c r="T758" s="46"/>
      <c r="U758" s="36"/>
      <c r="V758" s="35"/>
      <c r="W758" s="38" t="str">
        <f t="shared" si="11"/>
        <v/>
      </c>
    </row>
    <row r="759" spans="1:23" x14ac:dyDescent="0.35">
      <c r="A759" s="46"/>
      <c r="B759" s="36"/>
      <c r="C759" s="35"/>
      <c r="D759" s="24"/>
      <c r="E759" s="35"/>
      <c r="F759" s="35"/>
      <c r="G759" s="36"/>
      <c r="H759" s="36"/>
      <c r="I759" s="36"/>
      <c r="J759" s="36"/>
      <c r="K759" s="36"/>
      <c r="L759" s="36"/>
      <c r="M759" s="36"/>
      <c r="N759" s="35"/>
      <c r="O759" s="35"/>
      <c r="P759" s="35"/>
      <c r="Q759" s="36"/>
      <c r="R759" s="36"/>
      <c r="S759" s="36"/>
      <c r="T759" s="46"/>
      <c r="U759" s="36"/>
      <c r="V759" s="35"/>
      <c r="W759" s="38" t="str">
        <f t="shared" si="11"/>
        <v/>
      </c>
    </row>
    <row r="760" spans="1:23" x14ac:dyDescent="0.35">
      <c r="A760" s="46"/>
      <c r="B760" s="36"/>
      <c r="C760" s="35"/>
      <c r="D760" s="24"/>
      <c r="E760" s="35"/>
      <c r="F760" s="35"/>
      <c r="G760" s="36"/>
      <c r="H760" s="36"/>
      <c r="I760" s="36"/>
      <c r="J760" s="36"/>
      <c r="K760" s="36"/>
      <c r="L760" s="36"/>
      <c r="M760" s="36"/>
      <c r="N760" s="35"/>
      <c r="O760" s="35"/>
      <c r="P760" s="35"/>
      <c r="Q760" s="36"/>
      <c r="R760" s="36"/>
      <c r="S760" s="36"/>
      <c r="T760" s="46"/>
      <c r="U760" s="36"/>
      <c r="V760" s="35"/>
      <c r="W760" s="38" t="str">
        <f t="shared" si="11"/>
        <v/>
      </c>
    </row>
    <row r="761" spans="1:23" x14ac:dyDescent="0.35">
      <c r="A761" s="46"/>
      <c r="B761" s="36"/>
      <c r="C761" s="35"/>
      <c r="D761" s="24"/>
      <c r="E761" s="35"/>
      <c r="F761" s="35"/>
      <c r="G761" s="36"/>
      <c r="H761" s="36"/>
      <c r="I761" s="36"/>
      <c r="J761" s="36"/>
      <c r="K761" s="36"/>
      <c r="L761" s="36"/>
      <c r="M761" s="36"/>
      <c r="N761" s="35"/>
      <c r="O761" s="35"/>
      <c r="P761" s="35"/>
      <c r="Q761" s="36"/>
      <c r="R761" s="36"/>
      <c r="S761" s="36"/>
      <c r="T761" s="46"/>
      <c r="U761" s="36"/>
      <c r="V761" s="35"/>
      <c r="W761" s="38" t="str">
        <f t="shared" si="11"/>
        <v/>
      </c>
    </row>
    <row r="762" spans="1:23" x14ac:dyDescent="0.35">
      <c r="A762" s="46"/>
      <c r="B762" s="36"/>
      <c r="C762" s="35"/>
      <c r="D762" s="24"/>
      <c r="E762" s="35"/>
      <c r="F762" s="35"/>
      <c r="G762" s="36"/>
      <c r="H762" s="36"/>
      <c r="I762" s="36"/>
      <c r="J762" s="36"/>
      <c r="K762" s="36"/>
      <c r="L762" s="36"/>
      <c r="M762" s="36"/>
      <c r="N762" s="35"/>
      <c r="O762" s="35"/>
      <c r="P762" s="35"/>
      <c r="Q762" s="36"/>
      <c r="R762" s="36"/>
      <c r="S762" s="36"/>
      <c r="T762" s="46"/>
      <c r="U762" s="36"/>
      <c r="V762" s="35"/>
      <c r="W762" s="38" t="str">
        <f t="shared" si="11"/>
        <v/>
      </c>
    </row>
    <row r="763" spans="1:23" x14ac:dyDescent="0.35">
      <c r="A763" s="46"/>
      <c r="B763" s="36"/>
      <c r="C763" s="35"/>
      <c r="D763" s="24"/>
      <c r="E763" s="35"/>
      <c r="F763" s="35"/>
      <c r="G763" s="36"/>
      <c r="H763" s="36"/>
      <c r="I763" s="36"/>
      <c r="J763" s="36"/>
      <c r="K763" s="36"/>
      <c r="L763" s="36"/>
      <c r="M763" s="36"/>
      <c r="N763" s="35"/>
      <c r="O763" s="35"/>
      <c r="P763" s="35"/>
      <c r="Q763" s="36"/>
      <c r="R763" s="36"/>
      <c r="S763" s="36"/>
      <c r="T763" s="46"/>
      <c r="U763" s="36"/>
      <c r="V763" s="35"/>
      <c r="W763" s="38" t="str">
        <f t="shared" si="11"/>
        <v/>
      </c>
    </row>
    <row r="764" spans="1:23" x14ac:dyDescent="0.35">
      <c r="A764" s="46"/>
      <c r="B764" s="36"/>
      <c r="C764" s="35"/>
      <c r="D764" s="24"/>
      <c r="E764" s="35"/>
      <c r="F764" s="35"/>
      <c r="G764" s="36"/>
      <c r="H764" s="36"/>
      <c r="I764" s="36"/>
      <c r="J764" s="36"/>
      <c r="K764" s="36"/>
      <c r="L764" s="36"/>
      <c r="M764" s="36"/>
      <c r="N764" s="35"/>
      <c r="O764" s="35"/>
      <c r="P764" s="35"/>
      <c r="Q764" s="36"/>
      <c r="R764" s="36"/>
      <c r="S764" s="36"/>
      <c r="T764" s="46"/>
      <c r="U764" s="36"/>
      <c r="V764" s="35"/>
      <c r="W764" s="38" t="str">
        <f t="shared" si="11"/>
        <v/>
      </c>
    </row>
    <row r="765" spans="1:23" x14ac:dyDescent="0.35">
      <c r="A765" s="46"/>
      <c r="B765" s="36"/>
      <c r="C765" s="35"/>
      <c r="D765" s="24"/>
      <c r="E765" s="35"/>
      <c r="F765" s="35"/>
      <c r="G765" s="36"/>
      <c r="H765" s="36"/>
      <c r="I765" s="36"/>
      <c r="J765" s="36"/>
      <c r="K765" s="36"/>
      <c r="L765" s="36"/>
      <c r="M765" s="36"/>
      <c r="N765" s="35"/>
      <c r="O765" s="35"/>
      <c r="P765" s="35"/>
      <c r="Q765" s="36"/>
      <c r="R765" s="36"/>
      <c r="S765" s="36"/>
      <c r="T765" s="46"/>
      <c r="U765" s="36"/>
      <c r="V765" s="35"/>
      <c r="W765" s="38" t="str">
        <f t="shared" si="11"/>
        <v/>
      </c>
    </row>
    <row r="766" spans="1:23" x14ac:dyDescent="0.35">
      <c r="A766" s="46"/>
      <c r="B766" s="36"/>
      <c r="C766" s="35"/>
      <c r="D766" s="24"/>
      <c r="E766" s="35"/>
      <c r="F766" s="35"/>
      <c r="G766" s="36"/>
      <c r="H766" s="36"/>
      <c r="I766" s="36"/>
      <c r="J766" s="36"/>
      <c r="K766" s="36"/>
      <c r="L766" s="36"/>
      <c r="M766" s="36"/>
      <c r="N766" s="35"/>
      <c r="O766" s="35"/>
      <c r="P766" s="35"/>
      <c r="Q766" s="36"/>
      <c r="R766" s="36"/>
      <c r="S766" s="36"/>
      <c r="T766" s="46"/>
      <c r="U766" s="36"/>
      <c r="V766" s="35"/>
      <c r="W766" s="38" t="str">
        <f t="shared" si="11"/>
        <v/>
      </c>
    </row>
    <row r="767" spans="1:23" x14ac:dyDescent="0.35">
      <c r="A767" s="46"/>
      <c r="B767" s="36"/>
      <c r="C767" s="35"/>
      <c r="D767" s="24"/>
      <c r="E767" s="35"/>
      <c r="F767" s="35"/>
      <c r="G767" s="36"/>
      <c r="H767" s="36"/>
      <c r="I767" s="36"/>
      <c r="J767" s="36"/>
      <c r="K767" s="36"/>
      <c r="L767" s="36"/>
      <c r="M767" s="36"/>
      <c r="N767" s="35"/>
      <c r="O767" s="35"/>
      <c r="P767" s="35"/>
      <c r="Q767" s="36"/>
      <c r="R767" s="36"/>
      <c r="S767" s="36"/>
      <c r="T767" s="46"/>
      <c r="U767" s="36"/>
      <c r="V767" s="35"/>
      <c r="W767" s="38" t="str">
        <f t="shared" si="11"/>
        <v/>
      </c>
    </row>
    <row r="768" spans="1:23" x14ac:dyDescent="0.35">
      <c r="A768" s="46"/>
      <c r="B768" s="36"/>
      <c r="C768" s="35"/>
      <c r="D768" s="24"/>
      <c r="E768" s="35"/>
      <c r="F768" s="35"/>
      <c r="G768" s="36"/>
      <c r="H768" s="36"/>
      <c r="I768" s="36"/>
      <c r="J768" s="36"/>
      <c r="K768" s="36"/>
      <c r="L768" s="36"/>
      <c r="M768" s="36"/>
      <c r="N768" s="35"/>
      <c r="O768" s="35"/>
      <c r="P768" s="35"/>
      <c r="Q768" s="36"/>
      <c r="R768" s="36"/>
      <c r="S768" s="36"/>
      <c r="T768" s="46"/>
      <c r="U768" s="36"/>
      <c r="V768" s="35"/>
      <c r="W768" s="38" t="str">
        <f t="shared" si="11"/>
        <v/>
      </c>
    </row>
    <row r="769" spans="1:23" x14ac:dyDescent="0.35">
      <c r="A769" s="46"/>
      <c r="B769" s="36"/>
      <c r="C769" s="35"/>
      <c r="D769" s="24"/>
      <c r="E769" s="35"/>
      <c r="F769" s="35"/>
      <c r="G769" s="36"/>
      <c r="H769" s="36"/>
      <c r="I769" s="36"/>
      <c r="J769" s="36"/>
      <c r="K769" s="36"/>
      <c r="L769" s="36"/>
      <c r="M769" s="36"/>
      <c r="N769" s="35"/>
      <c r="O769" s="35"/>
      <c r="P769" s="35"/>
      <c r="Q769" s="36"/>
      <c r="R769" s="36"/>
      <c r="S769" s="36"/>
      <c r="T769" s="46"/>
      <c r="U769" s="36"/>
      <c r="V769" s="35"/>
      <c r="W769" s="38" t="str">
        <f t="shared" si="11"/>
        <v/>
      </c>
    </row>
    <row r="770" spans="1:23" x14ac:dyDescent="0.35">
      <c r="A770" s="46"/>
      <c r="B770" s="36"/>
      <c r="C770" s="35"/>
      <c r="D770" s="24"/>
      <c r="E770" s="35"/>
      <c r="F770" s="35"/>
      <c r="G770" s="36"/>
      <c r="H770" s="36"/>
      <c r="I770" s="36"/>
      <c r="J770" s="36"/>
      <c r="K770" s="36"/>
      <c r="L770" s="36"/>
      <c r="M770" s="36"/>
      <c r="N770" s="35"/>
      <c r="O770" s="35"/>
      <c r="P770" s="35"/>
      <c r="Q770" s="36"/>
      <c r="R770" s="36"/>
      <c r="S770" s="36"/>
      <c r="T770" s="46"/>
      <c r="U770" s="36"/>
      <c r="V770" s="35"/>
      <c r="W770" s="38" t="str">
        <f t="shared" si="11"/>
        <v/>
      </c>
    </row>
    <row r="771" spans="1:23" x14ac:dyDescent="0.35">
      <c r="A771" s="46"/>
      <c r="B771" s="36"/>
      <c r="C771" s="35"/>
      <c r="D771" s="24"/>
      <c r="E771" s="35"/>
      <c r="F771" s="35"/>
      <c r="G771" s="36"/>
      <c r="H771" s="36"/>
      <c r="I771" s="36"/>
      <c r="J771" s="36"/>
      <c r="K771" s="36"/>
      <c r="L771" s="36"/>
      <c r="M771" s="36"/>
      <c r="N771" s="35"/>
      <c r="O771" s="35"/>
      <c r="P771" s="35"/>
      <c r="Q771" s="36"/>
      <c r="R771" s="36"/>
      <c r="S771" s="36"/>
      <c r="T771" s="46"/>
      <c r="U771" s="36"/>
      <c r="V771" s="35"/>
      <c r="W771" s="38" t="str">
        <f t="shared" si="11"/>
        <v/>
      </c>
    </row>
    <row r="772" spans="1:23" x14ac:dyDescent="0.35">
      <c r="A772" s="46"/>
      <c r="B772" s="36"/>
      <c r="C772" s="35"/>
      <c r="D772" s="24"/>
      <c r="E772" s="35"/>
      <c r="F772" s="35"/>
      <c r="G772" s="36"/>
      <c r="H772" s="36"/>
      <c r="I772" s="36"/>
      <c r="J772" s="36"/>
      <c r="K772" s="36"/>
      <c r="L772" s="36"/>
      <c r="M772" s="36"/>
      <c r="N772" s="35"/>
      <c r="O772" s="35"/>
      <c r="P772" s="35"/>
      <c r="Q772" s="36"/>
      <c r="R772" s="36"/>
      <c r="S772" s="36"/>
      <c r="T772" s="46"/>
      <c r="U772" s="36"/>
      <c r="V772" s="35"/>
      <c r="W772" s="38" t="str">
        <f t="shared" si="11"/>
        <v/>
      </c>
    </row>
    <row r="773" spans="1:23" x14ac:dyDescent="0.35">
      <c r="A773" s="46"/>
      <c r="B773" s="36"/>
      <c r="C773" s="35"/>
      <c r="D773" s="24"/>
      <c r="E773" s="35"/>
      <c r="F773" s="35"/>
      <c r="G773" s="36"/>
      <c r="H773" s="36"/>
      <c r="I773" s="36"/>
      <c r="J773" s="36"/>
      <c r="K773" s="36"/>
      <c r="L773" s="36"/>
      <c r="M773" s="36"/>
      <c r="N773" s="35"/>
      <c r="O773" s="35"/>
      <c r="P773" s="35"/>
      <c r="Q773" s="36"/>
      <c r="R773" s="36"/>
      <c r="S773" s="36"/>
      <c r="T773" s="46"/>
      <c r="U773" s="36"/>
      <c r="V773" s="35"/>
      <c r="W773" s="38" t="str">
        <f t="shared" si="11"/>
        <v/>
      </c>
    </row>
    <row r="774" spans="1:23" x14ac:dyDescent="0.35">
      <c r="A774" s="46"/>
      <c r="B774" s="36"/>
      <c r="C774" s="35"/>
      <c r="D774" s="24"/>
      <c r="E774" s="35"/>
      <c r="F774" s="35"/>
      <c r="G774" s="36"/>
      <c r="H774" s="36"/>
      <c r="I774" s="36"/>
      <c r="J774" s="36"/>
      <c r="K774" s="36"/>
      <c r="L774" s="36"/>
      <c r="M774" s="36"/>
      <c r="N774" s="35"/>
      <c r="O774" s="35"/>
      <c r="P774" s="35"/>
      <c r="Q774" s="36"/>
      <c r="R774" s="36"/>
      <c r="S774" s="36"/>
      <c r="T774" s="46"/>
      <c r="U774" s="36"/>
      <c r="V774" s="35"/>
      <c r="W774" s="38" t="str">
        <f t="shared" ref="W774:W837" si="12">IF(OR(A774="",C774=""),"",INT(A774)&amp;"|"&amp;C774)</f>
        <v/>
      </c>
    </row>
    <row r="775" spans="1:23" x14ac:dyDescent="0.35">
      <c r="A775" s="46"/>
      <c r="B775" s="36"/>
      <c r="C775" s="35"/>
      <c r="D775" s="24"/>
      <c r="E775" s="35"/>
      <c r="F775" s="35"/>
      <c r="G775" s="36"/>
      <c r="H775" s="36"/>
      <c r="I775" s="36"/>
      <c r="J775" s="36"/>
      <c r="K775" s="36"/>
      <c r="L775" s="36"/>
      <c r="M775" s="36"/>
      <c r="N775" s="35"/>
      <c r="O775" s="35"/>
      <c r="P775" s="35"/>
      <c r="Q775" s="36"/>
      <c r="R775" s="36"/>
      <c r="S775" s="36"/>
      <c r="T775" s="46"/>
      <c r="U775" s="36"/>
      <c r="V775" s="35"/>
      <c r="W775" s="38" t="str">
        <f t="shared" si="12"/>
        <v/>
      </c>
    </row>
    <row r="776" spans="1:23" x14ac:dyDescent="0.35">
      <c r="A776" s="46"/>
      <c r="B776" s="36"/>
      <c r="C776" s="35"/>
      <c r="D776" s="24"/>
      <c r="E776" s="35"/>
      <c r="F776" s="35"/>
      <c r="G776" s="36"/>
      <c r="H776" s="36"/>
      <c r="I776" s="36"/>
      <c r="J776" s="36"/>
      <c r="K776" s="36"/>
      <c r="L776" s="36"/>
      <c r="M776" s="36"/>
      <c r="N776" s="35"/>
      <c r="O776" s="35"/>
      <c r="P776" s="35"/>
      <c r="Q776" s="36"/>
      <c r="R776" s="36"/>
      <c r="S776" s="36"/>
      <c r="T776" s="46"/>
      <c r="U776" s="36"/>
      <c r="V776" s="35"/>
      <c r="W776" s="38" t="str">
        <f t="shared" si="12"/>
        <v/>
      </c>
    </row>
    <row r="777" spans="1:23" x14ac:dyDescent="0.35">
      <c r="A777" s="46"/>
      <c r="B777" s="36"/>
      <c r="C777" s="35"/>
      <c r="D777" s="24"/>
      <c r="E777" s="35"/>
      <c r="F777" s="35"/>
      <c r="G777" s="36"/>
      <c r="H777" s="36"/>
      <c r="I777" s="36"/>
      <c r="J777" s="36"/>
      <c r="K777" s="36"/>
      <c r="L777" s="36"/>
      <c r="M777" s="36"/>
      <c r="N777" s="35"/>
      <c r="O777" s="35"/>
      <c r="P777" s="35"/>
      <c r="Q777" s="36"/>
      <c r="R777" s="36"/>
      <c r="S777" s="36"/>
      <c r="T777" s="46"/>
      <c r="U777" s="36"/>
      <c r="V777" s="35"/>
      <c r="W777" s="38" t="str">
        <f t="shared" si="12"/>
        <v/>
      </c>
    </row>
    <row r="778" spans="1:23" x14ac:dyDescent="0.35">
      <c r="A778" s="46"/>
      <c r="B778" s="36"/>
      <c r="C778" s="35"/>
      <c r="D778" s="24"/>
      <c r="E778" s="35"/>
      <c r="F778" s="35"/>
      <c r="G778" s="36"/>
      <c r="H778" s="36"/>
      <c r="I778" s="36"/>
      <c r="J778" s="36"/>
      <c r="K778" s="36"/>
      <c r="L778" s="36"/>
      <c r="M778" s="36"/>
      <c r="N778" s="35"/>
      <c r="O778" s="35"/>
      <c r="P778" s="35"/>
      <c r="Q778" s="36"/>
      <c r="R778" s="36"/>
      <c r="S778" s="36"/>
      <c r="T778" s="46"/>
      <c r="U778" s="36"/>
      <c r="V778" s="35"/>
      <c r="W778" s="38" t="str">
        <f t="shared" si="12"/>
        <v/>
      </c>
    </row>
    <row r="779" spans="1:23" x14ac:dyDescent="0.35">
      <c r="A779" s="46"/>
      <c r="B779" s="36"/>
      <c r="C779" s="35"/>
      <c r="D779" s="24"/>
      <c r="E779" s="35"/>
      <c r="F779" s="35"/>
      <c r="G779" s="36"/>
      <c r="H779" s="36"/>
      <c r="I779" s="36"/>
      <c r="J779" s="36"/>
      <c r="K779" s="36"/>
      <c r="L779" s="36"/>
      <c r="M779" s="36"/>
      <c r="N779" s="35"/>
      <c r="O779" s="35"/>
      <c r="P779" s="35"/>
      <c r="Q779" s="36"/>
      <c r="R779" s="36"/>
      <c r="S779" s="36"/>
      <c r="T779" s="46"/>
      <c r="U779" s="36"/>
      <c r="V779" s="35"/>
      <c r="W779" s="38" t="str">
        <f t="shared" si="12"/>
        <v/>
      </c>
    </row>
    <row r="780" spans="1:23" x14ac:dyDescent="0.35">
      <c r="A780" s="46"/>
      <c r="B780" s="36"/>
      <c r="C780" s="35"/>
      <c r="D780" s="24"/>
      <c r="E780" s="35"/>
      <c r="F780" s="35"/>
      <c r="G780" s="36"/>
      <c r="H780" s="36"/>
      <c r="I780" s="36"/>
      <c r="J780" s="36"/>
      <c r="K780" s="36"/>
      <c r="L780" s="36"/>
      <c r="M780" s="36"/>
      <c r="N780" s="35"/>
      <c r="O780" s="35"/>
      <c r="P780" s="35"/>
      <c r="Q780" s="36"/>
      <c r="R780" s="36"/>
      <c r="S780" s="36"/>
      <c r="T780" s="46"/>
      <c r="U780" s="36"/>
      <c r="V780" s="35"/>
      <c r="W780" s="38" t="str">
        <f t="shared" si="12"/>
        <v/>
      </c>
    </row>
    <row r="781" spans="1:23" x14ac:dyDescent="0.35">
      <c r="A781" s="46"/>
      <c r="B781" s="36"/>
      <c r="C781" s="35"/>
      <c r="D781" s="24"/>
      <c r="E781" s="35"/>
      <c r="F781" s="35"/>
      <c r="G781" s="36"/>
      <c r="H781" s="36"/>
      <c r="I781" s="36"/>
      <c r="J781" s="36"/>
      <c r="K781" s="36"/>
      <c r="L781" s="36"/>
      <c r="M781" s="36"/>
      <c r="N781" s="35"/>
      <c r="O781" s="35"/>
      <c r="P781" s="35"/>
      <c r="Q781" s="36"/>
      <c r="R781" s="36"/>
      <c r="S781" s="36"/>
      <c r="T781" s="46"/>
      <c r="U781" s="36"/>
      <c r="V781" s="35"/>
      <c r="W781" s="38" t="str">
        <f t="shared" si="12"/>
        <v/>
      </c>
    </row>
    <row r="782" spans="1:23" x14ac:dyDescent="0.35">
      <c r="A782" s="46"/>
      <c r="B782" s="36"/>
      <c r="C782" s="35"/>
      <c r="D782" s="24"/>
      <c r="E782" s="35"/>
      <c r="F782" s="35"/>
      <c r="G782" s="36"/>
      <c r="H782" s="36"/>
      <c r="I782" s="36"/>
      <c r="J782" s="36"/>
      <c r="K782" s="36"/>
      <c r="L782" s="36"/>
      <c r="M782" s="36"/>
      <c r="N782" s="35"/>
      <c r="O782" s="35"/>
      <c r="P782" s="35"/>
      <c r="Q782" s="36"/>
      <c r="R782" s="36"/>
      <c r="S782" s="36"/>
      <c r="T782" s="46"/>
      <c r="U782" s="36"/>
      <c r="V782" s="35"/>
      <c r="W782" s="38" t="str">
        <f t="shared" si="12"/>
        <v/>
      </c>
    </row>
    <row r="783" spans="1:23" x14ac:dyDescent="0.35">
      <c r="A783" s="46"/>
      <c r="B783" s="36"/>
      <c r="C783" s="35"/>
      <c r="D783" s="24"/>
      <c r="E783" s="35"/>
      <c r="F783" s="35"/>
      <c r="G783" s="36"/>
      <c r="H783" s="36"/>
      <c r="I783" s="36"/>
      <c r="J783" s="36"/>
      <c r="K783" s="36"/>
      <c r="L783" s="36"/>
      <c r="M783" s="36"/>
      <c r="N783" s="35"/>
      <c r="O783" s="35"/>
      <c r="P783" s="35"/>
      <c r="Q783" s="36"/>
      <c r="R783" s="36"/>
      <c r="S783" s="36"/>
      <c r="T783" s="46"/>
      <c r="U783" s="36"/>
      <c r="V783" s="35"/>
      <c r="W783" s="38" t="str">
        <f t="shared" si="12"/>
        <v/>
      </c>
    </row>
    <row r="784" spans="1:23" x14ac:dyDescent="0.35">
      <c r="A784" s="46"/>
      <c r="B784" s="36"/>
      <c r="C784" s="35"/>
      <c r="D784" s="24"/>
      <c r="E784" s="35"/>
      <c r="F784" s="35"/>
      <c r="G784" s="36"/>
      <c r="H784" s="36"/>
      <c r="I784" s="36"/>
      <c r="J784" s="36"/>
      <c r="K784" s="36"/>
      <c r="L784" s="36"/>
      <c r="M784" s="36"/>
      <c r="N784" s="35"/>
      <c r="O784" s="35"/>
      <c r="P784" s="35"/>
      <c r="Q784" s="36"/>
      <c r="R784" s="36"/>
      <c r="S784" s="36"/>
      <c r="T784" s="46"/>
      <c r="U784" s="36"/>
      <c r="V784" s="35"/>
      <c r="W784" s="38" t="str">
        <f t="shared" si="12"/>
        <v/>
      </c>
    </row>
    <row r="785" spans="1:23" x14ac:dyDescent="0.35">
      <c r="A785" s="46"/>
      <c r="B785" s="36"/>
      <c r="C785" s="35"/>
      <c r="D785" s="24"/>
      <c r="E785" s="35"/>
      <c r="F785" s="35"/>
      <c r="G785" s="36"/>
      <c r="H785" s="36"/>
      <c r="I785" s="36"/>
      <c r="J785" s="36"/>
      <c r="K785" s="36"/>
      <c r="L785" s="36"/>
      <c r="M785" s="36"/>
      <c r="N785" s="35"/>
      <c r="O785" s="35"/>
      <c r="P785" s="35"/>
      <c r="Q785" s="36"/>
      <c r="R785" s="36"/>
      <c r="S785" s="36"/>
      <c r="T785" s="46"/>
      <c r="U785" s="36"/>
      <c r="V785" s="35"/>
      <c r="W785" s="38" t="str">
        <f t="shared" si="12"/>
        <v/>
      </c>
    </row>
    <row r="786" spans="1:23" x14ac:dyDescent="0.35">
      <c r="A786" s="46"/>
      <c r="B786" s="36"/>
      <c r="C786" s="35"/>
      <c r="D786" s="24"/>
      <c r="E786" s="35"/>
      <c r="F786" s="35"/>
      <c r="G786" s="36"/>
      <c r="H786" s="36"/>
      <c r="I786" s="36"/>
      <c r="J786" s="36"/>
      <c r="K786" s="36"/>
      <c r="L786" s="36"/>
      <c r="M786" s="36"/>
      <c r="N786" s="35"/>
      <c r="O786" s="35"/>
      <c r="P786" s="35"/>
      <c r="Q786" s="36"/>
      <c r="R786" s="36"/>
      <c r="S786" s="36"/>
      <c r="T786" s="46"/>
      <c r="U786" s="36"/>
      <c r="V786" s="35"/>
      <c r="W786" s="38" t="str">
        <f t="shared" si="12"/>
        <v/>
      </c>
    </row>
    <row r="787" spans="1:23" x14ac:dyDescent="0.35">
      <c r="A787" s="46"/>
      <c r="B787" s="36"/>
      <c r="C787" s="35"/>
      <c r="D787" s="24"/>
      <c r="E787" s="35"/>
      <c r="F787" s="35"/>
      <c r="G787" s="36"/>
      <c r="H787" s="36"/>
      <c r="I787" s="36"/>
      <c r="J787" s="36"/>
      <c r="K787" s="36"/>
      <c r="L787" s="36"/>
      <c r="M787" s="36"/>
      <c r="N787" s="35"/>
      <c r="O787" s="35"/>
      <c r="P787" s="35"/>
      <c r="Q787" s="36"/>
      <c r="R787" s="36"/>
      <c r="S787" s="36"/>
      <c r="T787" s="46"/>
      <c r="U787" s="36"/>
      <c r="V787" s="35"/>
      <c r="W787" s="38" t="str">
        <f t="shared" si="12"/>
        <v/>
      </c>
    </row>
    <row r="788" spans="1:23" x14ac:dyDescent="0.35">
      <c r="A788" s="46"/>
      <c r="B788" s="36"/>
      <c r="C788" s="35"/>
      <c r="D788" s="24"/>
      <c r="E788" s="35"/>
      <c r="F788" s="35"/>
      <c r="G788" s="36"/>
      <c r="H788" s="36"/>
      <c r="I788" s="36"/>
      <c r="J788" s="36"/>
      <c r="K788" s="36"/>
      <c r="L788" s="36"/>
      <c r="M788" s="36"/>
      <c r="N788" s="35"/>
      <c r="O788" s="35"/>
      <c r="P788" s="35"/>
      <c r="Q788" s="36"/>
      <c r="R788" s="36"/>
      <c r="S788" s="36"/>
      <c r="T788" s="46"/>
      <c r="U788" s="36"/>
      <c r="V788" s="35"/>
      <c r="W788" s="38" t="str">
        <f t="shared" si="12"/>
        <v/>
      </c>
    </row>
    <row r="789" spans="1:23" x14ac:dyDescent="0.35">
      <c r="A789" s="46"/>
      <c r="B789" s="36"/>
      <c r="C789" s="35"/>
      <c r="D789" s="24"/>
      <c r="E789" s="35"/>
      <c r="F789" s="35"/>
      <c r="G789" s="36"/>
      <c r="H789" s="36"/>
      <c r="I789" s="36"/>
      <c r="J789" s="36"/>
      <c r="K789" s="36"/>
      <c r="L789" s="36"/>
      <c r="M789" s="36"/>
      <c r="N789" s="35"/>
      <c r="O789" s="35"/>
      <c r="P789" s="35"/>
      <c r="Q789" s="36"/>
      <c r="R789" s="36"/>
      <c r="S789" s="36"/>
      <c r="T789" s="46"/>
      <c r="U789" s="36"/>
      <c r="V789" s="35"/>
      <c r="W789" s="38" t="str">
        <f t="shared" si="12"/>
        <v/>
      </c>
    </row>
    <row r="790" spans="1:23" x14ac:dyDescent="0.35">
      <c r="A790" s="46"/>
      <c r="B790" s="36"/>
      <c r="C790" s="35"/>
      <c r="D790" s="24"/>
      <c r="E790" s="35"/>
      <c r="F790" s="35"/>
      <c r="G790" s="36"/>
      <c r="H790" s="36"/>
      <c r="I790" s="36"/>
      <c r="J790" s="36"/>
      <c r="K790" s="36"/>
      <c r="L790" s="36"/>
      <c r="M790" s="36"/>
      <c r="N790" s="35"/>
      <c r="O790" s="35"/>
      <c r="P790" s="35"/>
      <c r="Q790" s="36"/>
      <c r="R790" s="36"/>
      <c r="S790" s="36"/>
      <c r="T790" s="46"/>
      <c r="U790" s="36"/>
      <c r="V790" s="35"/>
      <c r="W790" s="38" t="str">
        <f t="shared" si="12"/>
        <v/>
      </c>
    </row>
    <row r="791" spans="1:23" x14ac:dyDescent="0.35">
      <c r="A791" s="46"/>
      <c r="B791" s="36"/>
      <c r="C791" s="35"/>
      <c r="D791" s="24"/>
      <c r="E791" s="35"/>
      <c r="F791" s="35"/>
      <c r="G791" s="36"/>
      <c r="H791" s="36"/>
      <c r="I791" s="36"/>
      <c r="J791" s="36"/>
      <c r="K791" s="36"/>
      <c r="L791" s="36"/>
      <c r="M791" s="36"/>
      <c r="N791" s="35"/>
      <c r="O791" s="35"/>
      <c r="P791" s="35"/>
      <c r="Q791" s="36"/>
      <c r="R791" s="36"/>
      <c r="S791" s="36"/>
      <c r="T791" s="46"/>
      <c r="U791" s="36"/>
      <c r="V791" s="35"/>
      <c r="W791" s="38" t="str">
        <f t="shared" si="12"/>
        <v/>
      </c>
    </row>
    <row r="792" spans="1:23" x14ac:dyDescent="0.35">
      <c r="A792" s="46"/>
      <c r="B792" s="36"/>
      <c r="C792" s="35"/>
      <c r="D792" s="24"/>
      <c r="E792" s="35"/>
      <c r="F792" s="35"/>
      <c r="G792" s="36"/>
      <c r="H792" s="36"/>
      <c r="I792" s="36"/>
      <c r="J792" s="36"/>
      <c r="K792" s="36"/>
      <c r="L792" s="36"/>
      <c r="M792" s="36"/>
      <c r="N792" s="35"/>
      <c r="O792" s="35"/>
      <c r="P792" s="35"/>
      <c r="Q792" s="36"/>
      <c r="R792" s="36"/>
      <c r="S792" s="36"/>
      <c r="T792" s="46"/>
      <c r="U792" s="36"/>
      <c r="V792" s="35"/>
      <c r="W792" s="38" t="str">
        <f t="shared" si="12"/>
        <v/>
      </c>
    </row>
    <row r="793" spans="1:23" x14ac:dyDescent="0.35">
      <c r="A793" s="46"/>
      <c r="B793" s="36"/>
      <c r="C793" s="35"/>
      <c r="D793" s="24"/>
      <c r="E793" s="35"/>
      <c r="F793" s="35"/>
      <c r="G793" s="36"/>
      <c r="H793" s="36"/>
      <c r="I793" s="36"/>
      <c r="J793" s="36"/>
      <c r="K793" s="36"/>
      <c r="L793" s="36"/>
      <c r="M793" s="36"/>
      <c r="N793" s="35"/>
      <c r="O793" s="35"/>
      <c r="P793" s="35"/>
      <c r="Q793" s="36"/>
      <c r="R793" s="36"/>
      <c r="S793" s="36"/>
      <c r="T793" s="46"/>
      <c r="U793" s="36"/>
      <c r="V793" s="35"/>
      <c r="W793" s="38" t="str">
        <f t="shared" si="12"/>
        <v/>
      </c>
    </row>
    <row r="794" spans="1:23" x14ac:dyDescent="0.35">
      <c r="A794" s="46"/>
      <c r="B794" s="36"/>
      <c r="C794" s="35"/>
      <c r="D794" s="24"/>
      <c r="E794" s="35"/>
      <c r="F794" s="35"/>
      <c r="G794" s="36"/>
      <c r="H794" s="36"/>
      <c r="I794" s="36"/>
      <c r="J794" s="36"/>
      <c r="K794" s="36"/>
      <c r="L794" s="36"/>
      <c r="M794" s="36"/>
      <c r="N794" s="35"/>
      <c r="O794" s="35"/>
      <c r="P794" s="35"/>
      <c r="Q794" s="36"/>
      <c r="R794" s="36"/>
      <c r="S794" s="36"/>
      <c r="T794" s="46"/>
      <c r="U794" s="36"/>
      <c r="V794" s="35"/>
      <c r="W794" s="38" t="str">
        <f t="shared" si="12"/>
        <v/>
      </c>
    </row>
    <row r="795" spans="1:23" x14ac:dyDescent="0.35">
      <c r="A795" s="46"/>
      <c r="B795" s="36"/>
      <c r="C795" s="35"/>
      <c r="D795" s="24"/>
      <c r="E795" s="35"/>
      <c r="F795" s="35"/>
      <c r="G795" s="36"/>
      <c r="H795" s="36"/>
      <c r="I795" s="36"/>
      <c r="J795" s="36"/>
      <c r="K795" s="36"/>
      <c r="L795" s="36"/>
      <c r="M795" s="36"/>
      <c r="N795" s="35"/>
      <c r="O795" s="35"/>
      <c r="P795" s="35"/>
      <c r="Q795" s="36"/>
      <c r="R795" s="36"/>
      <c r="S795" s="36"/>
      <c r="T795" s="46"/>
      <c r="U795" s="36"/>
      <c r="V795" s="35"/>
      <c r="W795" s="38" t="str">
        <f t="shared" si="12"/>
        <v/>
      </c>
    </row>
    <row r="796" spans="1:23" x14ac:dyDescent="0.35">
      <c r="A796" s="46"/>
      <c r="B796" s="36"/>
      <c r="C796" s="35"/>
      <c r="D796" s="24"/>
      <c r="E796" s="35"/>
      <c r="F796" s="35"/>
      <c r="G796" s="36"/>
      <c r="H796" s="36"/>
      <c r="I796" s="36"/>
      <c r="J796" s="36"/>
      <c r="K796" s="36"/>
      <c r="L796" s="36"/>
      <c r="M796" s="36"/>
      <c r="N796" s="35"/>
      <c r="O796" s="35"/>
      <c r="P796" s="35"/>
      <c r="Q796" s="36"/>
      <c r="R796" s="36"/>
      <c r="S796" s="36"/>
      <c r="T796" s="46"/>
      <c r="U796" s="36"/>
      <c r="V796" s="35"/>
      <c r="W796" s="38" t="str">
        <f t="shared" si="12"/>
        <v/>
      </c>
    </row>
    <row r="797" spans="1:23" x14ac:dyDescent="0.35">
      <c r="A797" s="46"/>
      <c r="B797" s="36"/>
      <c r="C797" s="35"/>
      <c r="D797" s="24"/>
      <c r="E797" s="35"/>
      <c r="F797" s="35"/>
      <c r="G797" s="36"/>
      <c r="H797" s="36"/>
      <c r="I797" s="36"/>
      <c r="J797" s="36"/>
      <c r="K797" s="36"/>
      <c r="L797" s="36"/>
      <c r="M797" s="36"/>
      <c r="N797" s="35"/>
      <c r="O797" s="35"/>
      <c r="P797" s="35"/>
      <c r="Q797" s="36"/>
      <c r="R797" s="36"/>
      <c r="S797" s="36"/>
      <c r="T797" s="46"/>
      <c r="U797" s="36"/>
      <c r="V797" s="35"/>
      <c r="W797" s="38" t="str">
        <f t="shared" si="12"/>
        <v/>
      </c>
    </row>
    <row r="798" spans="1:23" x14ac:dyDescent="0.35">
      <c r="A798" s="46"/>
      <c r="B798" s="36"/>
      <c r="C798" s="35"/>
      <c r="D798" s="24"/>
      <c r="E798" s="35"/>
      <c r="F798" s="35"/>
      <c r="G798" s="36"/>
      <c r="H798" s="36"/>
      <c r="I798" s="36"/>
      <c r="J798" s="36"/>
      <c r="K798" s="36"/>
      <c r="L798" s="36"/>
      <c r="M798" s="36"/>
      <c r="N798" s="35"/>
      <c r="O798" s="35"/>
      <c r="P798" s="35"/>
      <c r="Q798" s="36"/>
      <c r="R798" s="36"/>
      <c r="S798" s="36"/>
      <c r="T798" s="46"/>
      <c r="U798" s="36"/>
      <c r="V798" s="35"/>
      <c r="W798" s="38" t="str">
        <f t="shared" si="12"/>
        <v/>
      </c>
    </row>
    <row r="799" spans="1:23" x14ac:dyDescent="0.35">
      <c r="A799" s="46"/>
      <c r="B799" s="36"/>
      <c r="C799" s="35"/>
      <c r="D799" s="24"/>
      <c r="E799" s="35"/>
      <c r="F799" s="35"/>
      <c r="G799" s="36"/>
      <c r="H799" s="36"/>
      <c r="I799" s="36"/>
      <c r="J799" s="36"/>
      <c r="K799" s="36"/>
      <c r="L799" s="36"/>
      <c r="M799" s="36"/>
      <c r="N799" s="35"/>
      <c r="O799" s="35"/>
      <c r="P799" s="35"/>
      <c r="Q799" s="36"/>
      <c r="R799" s="36"/>
      <c r="S799" s="36"/>
      <c r="T799" s="46"/>
      <c r="U799" s="36"/>
      <c r="V799" s="35"/>
      <c r="W799" s="38" t="str">
        <f t="shared" si="12"/>
        <v/>
      </c>
    </row>
    <row r="800" spans="1:23" x14ac:dyDescent="0.35">
      <c r="A800" s="46"/>
      <c r="B800" s="36"/>
      <c r="C800" s="35"/>
      <c r="D800" s="24"/>
      <c r="E800" s="35"/>
      <c r="F800" s="35"/>
      <c r="G800" s="36"/>
      <c r="H800" s="36"/>
      <c r="I800" s="36"/>
      <c r="J800" s="36"/>
      <c r="K800" s="36"/>
      <c r="L800" s="36"/>
      <c r="M800" s="36"/>
      <c r="N800" s="35"/>
      <c r="O800" s="35"/>
      <c r="P800" s="35"/>
      <c r="Q800" s="36"/>
      <c r="R800" s="36"/>
      <c r="S800" s="36"/>
      <c r="T800" s="46"/>
      <c r="U800" s="36"/>
      <c r="V800" s="35"/>
      <c r="W800" s="38" t="str">
        <f t="shared" si="12"/>
        <v/>
      </c>
    </row>
    <row r="801" spans="1:23" x14ac:dyDescent="0.35">
      <c r="A801" s="46"/>
      <c r="B801" s="36"/>
      <c r="C801" s="35"/>
      <c r="D801" s="24"/>
      <c r="E801" s="35"/>
      <c r="F801" s="35"/>
      <c r="G801" s="36"/>
      <c r="H801" s="36"/>
      <c r="I801" s="36"/>
      <c r="J801" s="36"/>
      <c r="K801" s="36"/>
      <c r="L801" s="36"/>
      <c r="M801" s="36"/>
      <c r="N801" s="35"/>
      <c r="O801" s="35"/>
      <c r="P801" s="35"/>
      <c r="Q801" s="36"/>
      <c r="R801" s="36"/>
      <c r="S801" s="36"/>
      <c r="T801" s="46"/>
      <c r="U801" s="36"/>
      <c r="V801" s="35"/>
      <c r="W801" s="38" t="str">
        <f t="shared" si="12"/>
        <v/>
      </c>
    </row>
    <row r="802" spans="1:23" x14ac:dyDescent="0.35">
      <c r="A802" s="46"/>
      <c r="B802" s="36"/>
      <c r="C802" s="35"/>
      <c r="D802" s="24"/>
      <c r="E802" s="35"/>
      <c r="F802" s="35"/>
      <c r="G802" s="36"/>
      <c r="H802" s="36"/>
      <c r="I802" s="36"/>
      <c r="J802" s="36"/>
      <c r="K802" s="36"/>
      <c r="L802" s="36"/>
      <c r="M802" s="36"/>
      <c r="N802" s="35"/>
      <c r="O802" s="35"/>
      <c r="P802" s="35"/>
      <c r="Q802" s="36"/>
      <c r="R802" s="36"/>
      <c r="S802" s="36"/>
      <c r="T802" s="46"/>
      <c r="U802" s="36"/>
      <c r="V802" s="35"/>
      <c r="W802" s="38" t="str">
        <f t="shared" si="12"/>
        <v/>
      </c>
    </row>
    <row r="803" spans="1:23" x14ac:dyDescent="0.35">
      <c r="A803" s="46"/>
      <c r="B803" s="36"/>
      <c r="C803" s="35"/>
      <c r="D803" s="24"/>
      <c r="E803" s="35"/>
      <c r="F803" s="35"/>
      <c r="G803" s="36"/>
      <c r="H803" s="36"/>
      <c r="I803" s="36"/>
      <c r="J803" s="36"/>
      <c r="K803" s="36"/>
      <c r="L803" s="36"/>
      <c r="M803" s="36"/>
      <c r="N803" s="35"/>
      <c r="O803" s="35"/>
      <c r="P803" s="35"/>
      <c r="Q803" s="36"/>
      <c r="R803" s="36"/>
      <c r="S803" s="36"/>
      <c r="T803" s="46"/>
      <c r="U803" s="36"/>
      <c r="V803" s="35"/>
      <c r="W803" s="38" t="str">
        <f t="shared" si="12"/>
        <v/>
      </c>
    </row>
    <row r="804" spans="1:23" x14ac:dyDescent="0.35">
      <c r="A804" s="46"/>
      <c r="B804" s="36"/>
      <c r="C804" s="35"/>
      <c r="D804" s="24"/>
      <c r="E804" s="35"/>
      <c r="F804" s="35"/>
      <c r="G804" s="36"/>
      <c r="H804" s="36"/>
      <c r="I804" s="36"/>
      <c r="J804" s="36"/>
      <c r="K804" s="36"/>
      <c r="L804" s="36"/>
      <c r="M804" s="36"/>
      <c r="N804" s="35"/>
      <c r="O804" s="35"/>
      <c r="P804" s="35"/>
      <c r="Q804" s="36"/>
      <c r="R804" s="36"/>
      <c r="S804" s="36"/>
      <c r="T804" s="46"/>
      <c r="U804" s="36"/>
      <c r="V804" s="35"/>
      <c r="W804" s="38" t="str">
        <f t="shared" si="12"/>
        <v/>
      </c>
    </row>
    <row r="805" spans="1:23" x14ac:dyDescent="0.35">
      <c r="A805" s="46"/>
      <c r="B805" s="36"/>
      <c r="C805" s="35"/>
      <c r="D805" s="24"/>
      <c r="E805" s="35"/>
      <c r="F805" s="35"/>
      <c r="G805" s="36"/>
      <c r="H805" s="36"/>
      <c r="I805" s="36"/>
      <c r="J805" s="36"/>
      <c r="K805" s="36"/>
      <c r="L805" s="36"/>
      <c r="M805" s="36"/>
      <c r="N805" s="35"/>
      <c r="O805" s="35"/>
      <c r="P805" s="35"/>
      <c r="Q805" s="36"/>
      <c r="R805" s="36"/>
      <c r="S805" s="36"/>
      <c r="T805" s="46"/>
      <c r="U805" s="36"/>
      <c r="V805" s="35"/>
      <c r="W805" s="38" t="str">
        <f t="shared" si="12"/>
        <v/>
      </c>
    </row>
    <row r="806" spans="1:23" x14ac:dyDescent="0.35">
      <c r="A806" s="46"/>
      <c r="B806" s="36"/>
      <c r="C806" s="35"/>
      <c r="D806" s="24"/>
      <c r="E806" s="35"/>
      <c r="F806" s="35"/>
      <c r="G806" s="36"/>
      <c r="H806" s="36"/>
      <c r="I806" s="36"/>
      <c r="J806" s="36"/>
      <c r="K806" s="36"/>
      <c r="L806" s="36"/>
      <c r="M806" s="36"/>
      <c r="N806" s="35"/>
      <c r="O806" s="35"/>
      <c r="P806" s="35"/>
      <c r="Q806" s="36"/>
      <c r="R806" s="36"/>
      <c r="S806" s="36"/>
      <c r="T806" s="46"/>
      <c r="U806" s="36"/>
      <c r="V806" s="35"/>
      <c r="W806" s="38" t="str">
        <f t="shared" si="12"/>
        <v/>
      </c>
    </row>
    <row r="807" spans="1:23" x14ac:dyDescent="0.35">
      <c r="A807" s="46"/>
      <c r="B807" s="36"/>
      <c r="C807" s="35"/>
      <c r="D807" s="24"/>
      <c r="E807" s="35"/>
      <c r="F807" s="35"/>
      <c r="G807" s="36"/>
      <c r="H807" s="36"/>
      <c r="I807" s="36"/>
      <c r="J807" s="36"/>
      <c r="K807" s="36"/>
      <c r="L807" s="36"/>
      <c r="M807" s="36"/>
      <c r="N807" s="35"/>
      <c r="O807" s="35"/>
      <c r="P807" s="35"/>
      <c r="Q807" s="36"/>
      <c r="R807" s="36"/>
      <c r="S807" s="36"/>
      <c r="T807" s="46"/>
      <c r="U807" s="36"/>
      <c r="V807" s="35"/>
      <c r="W807" s="38" t="str">
        <f t="shared" si="12"/>
        <v/>
      </c>
    </row>
    <row r="808" spans="1:23" x14ac:dyDescent="0.35">
      <c r="A808" s="46"/>
      <c r="B808" s="36"/>
      <c r="C808" s="35"/>
      <c r="D808" s="24"/>
      <c r="E808" s="35"/>
      <c r="F808" s="35"/>
      <c r="G808" s="36"/>
      <c r="H808" s="36"/>
      <c r="I808" s="36"/>
      <c r="J808" s="36"/>
      <c r="K808" s="36"/>
      <c r="L808" s="36"/>
      <c r="M808" s="36"/>
      <c r="N808" s="35"/>
      <c r="O808" s="35"/>
      <c r="P808" s="35"/>
      <c r="Q808" s="36"/>
      <c r="R808" s="36"/>
      <c r="S808" s="36"/>
      <c r="T808" s="46"/>
      <c r="U808" s="36"/>
      <c r="V808" s="35"/>
      <c r="W808" s="38" t="str">
        <f t="shared" si="12"/>
        <v/>
      </c>
    </row>
    <row r="809" spans="1:23" x14ac:dyDescent="0.35">
      <c r="A809" s="46"/>
      <c r="B809" s="36"/>
      <c r="C809" s="35"/>
      <c r="D809" s="24"/>
      <c r="E809" s="35"/>
      <c r="F809" s="35"/>
      <c r="G809" s="36"/>
      <c r="H809" s="36"/>
      <c r="I809" s="36"/>
      <c r="J809" s="36"/>
      <c r="K809" s="36"/>
      <c r="L809" s="36"/>
      <c r="M809" s="36"/>
      <c r="N809" s="35"/>
      <c r="O809" s="35"/>
      <c r="P809" s="35"/>
      <c r="Q809" s="36"/>
      <c r="R809" s="36"/>
      <c r="S809" s="36"/>
      <c r="T809" s="46"/>
      <c r="U809" s="36"/>
      <c r="V809" s="35"/>
      <c r="W809" s="38" t="str">
        <f t="shared" si="12"/>
        <v/>
      </c>
    </row>
    <row r="810" spans="1:23" x14ac:dyDescent="0.35">
      <c r="A810" s="46"/>
      <c r="B810" s="36"/>
      <c r="C810" s="35"/>
      <c r="D810" s="24"/>
      <c r="E810" s="35"/>
      <c r="F810" s="35"/>
      <c r="G810" s="36"/>
      <c r="H810" s="36"/>
      <c r="I810" s="36"/>
      <c r="J810" s="36"/>
      <c r="K810" s="36"/>
      <c r="L810" s="36"/>
      <c r="M810" s="36"/>
      <c r="N810" s="35"/>
      <c r="O810" s="35"/>
      <c r="P810" s="35"/>
      <c r="Q810" s="36"/>
      <c r="R810" s="36"/>
      <c r="S810" s="36"/>
      <c r="T810" s="46"/>
      <c r="U810" s="36"/>
      <c r="V810" s="35"/>
      <c r="W810" s="38" t="str">
        <f t="shared" si="12"/>
        <v/>
      </c>
    </row>
    <row r="811" spans="1:23" x14ac:dyDescent="0.35">
      <c r="A811" s="46"/>
      <c r="B811" s="36"/>
      <c r="C811" s="35"/>
      <c r="D811" s="24"/>
      <c r="E811" s="35"/>
      <c r="F811" s="35"/>
      <c r="G811" s="36"/>
      <c r="H811" s="36"/>
      <c r="I811" s="36"/>
      <c r="J811" s="36"/>
      <c r="K811" s="36"/>
      <c r="L811" s="36"/>
      <c r="M811" s="36"/>
      <c r="N811" s="35"/>
      <c r="O811" s="35"/>
      <c r="P811" s="35"/>
      <c r="Q811" s="36"/>
      <c r="R811" s="36"/>
      <c r="S811" s="36"/>
      <c r="T811" s="46"/>
      <c r="U811" s="36"/>
      <c r="V811" s="35"/>
      <c r="W811" s="38" t="str">
        <f t="shared" si="12"/>
        <v/>
      </c>
    </row>
    <row r="812" spans="1:23" x14ac:dyDescent="0.35">
      <c r="A812" s="46"/>
      <c r="B812" s="36"/>
      <c r="C812" s="35"/>
      <c r="D812" s="24"/>
      <c r="E812" s="35"/>
      <c r="F812" s="35"/>
      <c r="G812" s="36"/>
      <c r="H812" s="36"/>
      <c r="I812" s="36"/>
      <c r="J812" s="36"/>
      <c r="K812" s="36"/>
      <c r="L812" s="36"/>
      <c r="M812" s="36"/>
      <c r="N812" s="35"/>
      <c r="O812" s="35"/>
      <c r="P812" s="35"/>
      <c r="Q812" s="36"/>
      <c r="R812" s="36"/>
      <c r="S812" s="36"/>
      <c r="T812" s="46"/>
      <c r="U812" s="36"/>
      <c r="V812" s="35"/>
      <c r="W812" s="38" t="str">
        <f t="shared" si="12"/>
        <v/>
      </c>
    </row>
    <row r="813" spans="1:23" x14ac:dyDescent="0.35">
      <c r="A813" s="46"/>
      <c r="B813" s="36"/>
      <c r="C813" s="35"/>
      <c r="D813" s="24"/>
      <c r="E813" s="35"/>
      <c r="F813" s="35"/>
      <c r="G813" s="36"/>
      <c r="H813" s="36"/>
      <c r="I813" s="36"/>
      <c r="J813" s="36"/>
      <c r="K813" s="36"/>
      <c r="L813" s="36"/>
      <c r="M813" s="36"/>
      <c r="N813" s="35"/>
      <c r="O813" s="35"/>
      <c r="P813" s="35"/>
      <c r="Q813" s="36"/>
      <c r="R813" s="36"/>
      <c r="S813" s="36"/>
      <c r="T813" s="46"/>
      <c r="U813" s="36"/>
      <c r="V813" s="35"/>
      <c r="W813" s="38" t="str">
        <f t="shared" si="12"/>
        <v/>
      </c>
    </row>
    <row r="814" spans="1:23" x14ac:dyDescent="0.35">
      <c r="A814" s="46"/>
      <c r="B814" s="36"/>
      <c r="C814" s="35"/>
      <c r="D814" s="24"/>
      <c r="E814" s="35"/>
      <c r="F814" s="35"/>
      <c r="G814" s="36"/>
      <c r="H814" s="36"/>
      <c r="I814" s="36"/>
      <c r="J814" s="36"/>
      <c r="K814" s="36"/>
      <c r="L814" s="36"/>
      <c r="M814" s="36"/>
      <c r="N814" s="35"/>
      <c r="O814" s="35"/>
      <c r="P814" s="35"/>
      <c r="Q814" s="36"/>
      <c r="R814" s="36"/>
      <c r="S814" s="36"/>
      <c r="T814" s="46"/>
      <c r="U814" s="36"/>
      <c r="V814" s="35"/>
      <c r="W814" s="38" t="str">
        <f t="shared" si="12"/>
        <v/>
      </c>
    </row>
    <row r="815" spans="1:23" x14ac:dyDescent="0.35">
      <c r="A815" s="46"/>
      <c r="B815" s="36"/>
      <c r="C815" s="35"/>
      <c r="D815" s="24"/>
      <c r="E815" s="35"/>
      <c r="F815" s="35"/>
      <c r="G815" s="36"/>
      <c r="H815" s="36"/>
      <c r="I815" s="36"/>
      <c r="J815" s="36"/>
      <c r="K815" s="36"/>
      <c r="L815" s="36"/>
      <c r="M815" s="36"/>
      <c r="N815" s="35"/>
      <c r="O815" s="35"/>
      <c r="P815" s="35"/>
      <c r="Q815" s="36"/>
      <c r="R815" s="36"/>
      <c r="S815" s="36"/>
      <c r="T815" s="46"/>
      <c r="U815" s="36"/>
      <c r="V815" s="35"/>
      <c r="W815" s="38" t="str">
        <f t="shared" si="12"/>
        <v/>
      </c>
    </row>
    <row r="816" spans="1:23" x14ac:dyDescent="0.35">
      <c r="A816" s="46"/>
      <c r="B816" s="36"/>
      <c r="C816" s="35"/>
      <c r="D816" s="24"/>
      <c r="E816" s="35"/>
      <c r="F816" s="35"/>
      <c r="G816" s="36"/>
      <c r="H816" s="36"/>
      <c r="I816" s="36"/>
      <c r="J816" s="36"/>
      <c r="K816" s="36"/>
      <c r="L816" s="36"/>
      <c r="M816" s="36"/>
      <c r="N816" s="35"/>
      <c r="O816" s="35"/>
      <c r="P816" s="35"/>
      <c r="Q816" s="36"/>
      <c r="R816" s="36"/>
      <c r="S816" s="36"/>
      <c r="T816" s="46"/>
      <c r="U816" s="36"/>
      <c r="V816" s="35"/>
      <c r="W816" s="38" t="str">
        <f t="shared" si="12"/>
        <v/>
      </c>
    </row>
    <row r="817" spans="1:23" x14ac:dyDescent="0.35">
      <c r="A817" s="46"/>
      <c r="B817" s="36"/>
      <c r="C817" s="35"/>
      <c r="D817" s="24"/>
      <c r="E817" s="35"/>
      <c r="F817" s="35"/>
      <c r="G817" s="36"/>
      <c r="H817" s="36"/>
      <c r="I817" s="36"/>
      <c r="J817" s="36"/>
      <c r="K817" s="36"/>
      <c r="L817" s="36"/>
      <c r="M817" s="36"/>
      <c r="N817" s="35"/>
      <c r="O817" s="35"/>
      <c r="P817" s="35"/>
      <c r="Q817" s="36"/>
      <c r="R817" s="36"/>
      <c r="S817" s="36"/>
      <c r="T817" s="46"/>
      <c r="U817" s="36"/>
      <c r="V817" s="35"/>
      <c r="W817" s="38" t="str">
        <f t="shared" si="12"/>
        <v/>
      </c>
    </row>
    <row r="818" spans="1:23" x14ac:dyDescent="0.35">
      <c r="A818" s="46"/>
      <c r="B818" s="36"/>
      <c r="C818" s="35"/>
      <c r="D818" s="24"/>
      <c r="E818" s="35"/>
      <c r="F818" s="35"/>
      <c r="G818" s="36"/>
      <c r="H818" s="36"/>
      <c r="I818" s="36"/>
      <c r="J818" s="36"/>
      <c r="K818" s="36"/>
      <c r="L818" s="36"/>
      <c r="M818" s="36"/>
      <c r="N818" s="35"/>
      <c r="O818" s="35"/>
      <c r="P818" s="35"/>
      <c r="Q818" s="36"/>
      <c r="R818" s="36"/>
      <c r="S818" s="36"/>
      <c r="T818" s="46"/>
      <c r="U818" s="36"/>
      <c r="V818" s="35"/>
      <c r="W818" s="38" t="str">
        <f t="shared" si="12"/>
        <v/>
      </c>
    </row>
    <row r="819" spans="1:23" x14ac:dyDescent="0.35">
      <c r="A819" s="46"/>
      <c r="B819" s="36"/>
      <c r="C819" s="35"/>
      <c r="D819" s="24"/>
      <c r="E819" s="35"/>
      <c r="F819" s="35"/>
      <c r="G819" s="36"/>
      <c r="H819" s="36"/>
      <c r="I819" s="36"/>
      <c r="J819" s="36"/>
      <c r="K819" s="36"/>
      <c r="L819" s="36"/>
      <c r="M819" s="36"/>
      <c r="N819" s="35"/>
      <c r="O819" s="35"/>
      <c r="P819" s="35"/>
      <c r="Q819" s="36"/>
      <c r="R819" s="36"/>
      <c r="S819" s="36"/>
      <c r="T819" s="46"/>
      <c r="U819" s="36"/>
      <c r="V819" s="35"/>
      <c r="W819" s="38" t="str">
        <f t="shared" si="12"/>
        <v/>
      </c>
    </row>
    <row r="820" spans="1:23" x14ac:dyDescent="0.35">
      <c r="A820" s="46"/>
      <c r="B820" s="36"/>
      <c r="C820" s="35"/>
      <c r="D820" s="24"/>
      <c r="E820" s="35"/>
      <c r="F820" s="35"/>
      <c r="G820" s="36"/>
      <c r="H820" s="36"/>
      <c r="I820" s="36"/>
      <c r="J820" s="36"/>
      <c r="K820" s="36"/>
      <c r="L820" s="36"/>
      <c r="M820" s="36"/>
      <c r="N820" s="35"/>
      <c r="O820" s="35"/>
      <c r="P820" s="35"/>
      <c r="Q820" s="36"/>
      <c r="R820" s="36"/>
      <c r="S820" s="36"/>
      <c r="T820" s="46"/>
      <c r="U820" s="36"/>
      <c r="V820" s="35"/>
      <c r="W820" s="38" t="str">
        <f t="shared" si="12"/>
        <v/>
      </c>
    </row>
    <row r="821" spans="1:23" x14ac:dyDescent="0.35">
      <c r="A821" s="46"/>
      <c r="B821" s="36"/>
      <c r="C821" s="35"/>
      <c r="D821" s="24"/>
      <c r="E821" s="35"/>
      <c r="F821" s="35"/>
      <c r="G821" s="36"/>
      <c r="H821" s="36"/>
      <c r="I821" s="36"/>
      <c r="J821" s="36"/>
      <c r="K821" s="36"/>
      <c r="L821" s="36"/>
      <c r="M821" s="36"/>
      <c r="N821" s="35"/>
      <c r="O821" s="35"/>
      <c r="P821" s="35"/>
      <c r="Q821" s="36"/>
      <c r="R821" s="36"/>
      <c r="S821" s="36"/>
      <c r="T821" s="46"/>
      <c r="U821" s="36"/>
      <c r="V821" s="35"/>
      <c r="W821" s="38" t="str">
        <f t="shared" si="12"/>
        <v/>
      </c>
    </row>
    <row r="822" spans="1:23" x14ac:dyDescent="0.35">
      <c r="A822" s="46"/>
      <c r="B822" s="36"/>
      <c r="C822" s="35"/>
      <c r="D822" s="24"/>
      <c r="E822" s="35"/>
      <c r="F822" s="35"/>
      <c r="G822" s="36"/>
      <c r="H822" s="36"/>
      <c r="I822" s="36"/>
      <c r="J822" s="36"/>
      <c r="K822" s="36"/>
      <c r="L822" s="36"/>
      <c r="M822" s="36"/>
      <c r="N822" s="35"/>
      <c r="O822" s="35"/>
      <c r="P822" s="35"/>
      <c r="Q822" s="36"/>
      <c r="R822" s="36"/>
      <c r="S822" s="36"/>
      <c r="T822" s="46"/>
      <c r="U822" s="36"/>
      <c r="V822" s="35"/>
      <c r="W822" s="38" t="str">
        <f t="shared" si="12"/>
        <v/>
      </c>
    </row>
    <row r="823" spans="1:23" x14ac:dyDescent="0.35">
      <c r="A823" s="46"/>
      <c r="B823" s="36"/>
      <c r="C823" s="35"/>
      <c r="D823" s="24"/>
      <c r="E823" s="35"/>
      <c r="F823" s="35"/>
      <c r="G823" s="36"/>
      <c r="H823" s="36"/>
      <c r="I823" s="36"/>
      <c r="J823" s="36"/>
      <c r="K823" s="36"/>
      <c r="L823" s="36"/>
      <c r="M823" s="36"/>
      <c r="N823" s="35"/>
      <c r="O823" s="35"/>
      <c r="P823" s="35"/>
      <c r="Q823" s="36"/>
      <c r="R823" s="36"/>
      <c r="S823" s="36"/>
      <c r="T823" s="46"/>
      <c r="U823" s="36"/>
      <c r="V823" s="35"/>
      <c r="W823" s="38" t="str">
        <f t="shared" si="12"/>
        <v/>
      </c>
    </row>
    <row r="824" spans="1:23" x14ac:dyDescent="0.35">
      <c r="A824" s="46"/>
      <c r="B824" s="36"/>
      <c r="C824" s="35"/>
      <c r="D824" s="24"/>
      <c r="E824" s="35"/>
      <c r="F824" s="35"/>
      <c r="G824" s="36"/>
      <c r="H824" s="36"/>
      <c r="I824" s="36"/>
      <c r="J824" s="36"/>
      <c r="K824" s="36"/>
      <c r="L824" s="36"/>
      <c r="M824" s="36"/>
      <c r="N824" s="35"/>
      <c r="O824" s="35"/>
      <c r="P824" s="35"/>
      <c r="Q824" s="36"/>
      <c r="R824" s="36"/>
      <c r="S824" s="36"/>
      <c r="T824" s="46"/>
      <c r="U824" s="36"/>
      <c r="V824" s="35"/>
      <c r="W824" s="38" t="str">
        <f t="shared" si="12"/>
        <v/>
      </c>
    </row>
    <row r="825" spans="1:23" x14ac:dyDescent="0.35">
      <c r="A825" s="46"/>
      <c r="B825" s="36"/>
      <c r="C825" s="35"/>
      <c r="D825" s="24"/>
      <c r="E825" s="35"/>
      <c r="F825" s="35"/>
      <c r="G825" s="36"/>
      <c r="H825" s="36"/>
      <c r="I825" s="36"/>
      <c r="J825" s="36"/>
      <c r="K825" s="36"/>
      <c r="L825" s="36"/>
      <c r="M825" s="36"/>
      <c r="N825" s="35"/>
      <c r="O825" s="35"/>
      <c r="P825" s="35"/>
      <c r="Q825" s="36"/>
      <c r="R825" s="36"/>
      <c r="S825" s="36"/>
      <c r="T825" s="46"/>
      <c r="U825" s="36"/>
      <c r="V825" s="35"/>
      <c r="W825" s="38" t="str">
        <f t="shared" si="12"/>
        <v/>
      </c>
    </row>
    <row r="826" spans="1:23" x14ac:dyDescent="0.35">
      <c r="A826" s="46"/>
      <c r="B826" s="36"/>
      <c r="C826" s="35"/>
      <c r="D826" s="24"/>
      <c r="E826" s="35"/>
      <c r="F826" s="35"/>
      <c r="G826" s="36"/>
      <c r="H826" s="36"/>
      <c r="I826" s="36"/>
      <c r="J826" s="36"/>
      <c r="K826" s="36"/>
      <c r="L826" s="36"/>
      <c r="M826" s="36"/>
      <c r="N826" s="35"/>
      <c r="O826" s="35"/>
      <c r="P826" s="35"/>
      <c r="Q826" s="36"/>
      <c r="R826" s="36"/>
      <c r="S826" s="36"/>
      <c r="T826" s="46"/>
      <c r="U826" s="36"/>
      <c r="V826" s="35"/>
      <c r="W826" s="38" t="str">
        <f t="shared" si="12"/>
        <v/>
      </c>
    </row>
    <row r="827" spans="1:23" x14ac:dyDescent="0.35">
      <c r="A827" s="46"/>
      <c r="B827" s="36"/>
      <c r="C827" s="35"/>
      <c r="D827" s="24"/>
      <c r="E827" s="35"/>
      <c r="F827" s="35"/>
      <c r="G827" s="36"/>
      <c r="H827" s="36"/>
      <c r="I827" s="36"/>
      <c r="J827" s="36"/>
      <c r="K827" s="36"/>
      <c r="L827" s="36"/>
      <c r="M827" s="36"/>
      <c r="N827" s="35"/>
      <c r="O827" s="35"/>
      <c r="P827" s="35"/>
      <c r="Q827" s="36"/>
      <c r="R827" s="36"/>
      <c r="S827" s="36"/>
      <c r="T827" s="46"/>
      <c r="U827" s="36"/>
      <c r="V827" s="35"/>
      <c r="W827" s="38" t="str">
        <f t="shared" si="12"/>
        <v/>
      </c>
    </row>
    <row r="828" spans="1:23" x14ac:dyDescent="0.35">
      <c r="A828" s="46"/>
      <c r="B828" s="36"/>
      <c r="C828" s="35"/>
      <c r="D828" s="24"/>
      <c r="E828" s="35"/>
      <c r="F828" s="35"/>
      <c r="G828" s="36"/>
      <c r="H828" s="36"/>
      <c r="I828" s="36"/>
      <c r="J828" s="36"/>
      <c r="K828" s="36"/>
      <c r="L828" s="36"/>
      <c r="M828" s="36"/>
      <c r="N828" s="35"/>
      <c r="O828" s="35"/>
      <c r="P828" s="35"/>
      <c r="Q828" s="36"/>
      <c r="R828" s="36"/>
      <c r="S828" s="36"/>
      <c r="T828" s="46"/>
      <c r="U828" s="36"/>
      <c r="V828" s="35"/>
      <c r="W828" s="38" t="str">
        <f t="shared" si="12"/>
        <v/>
      </c>
    </row>
    <row r="829" spans="1:23" x14ac:dyDescent="0.35">
      <c r="A829" s="46"/>
      <c r="B829" s="36"/>
      <c r="C829" s="35"/>
      <c r="D829" s="24"/>
      <c r="E829" s="35"/>
      <c r="F829" s="35"/>
      <c r="G829" s="36"/>
      <c r="H829" s="36"/>
      <c r="I829" s="36"/>
      <c r="J829" s="36"/>
      <c r="K829" s="36"/>
      <c r="L829" s="36"/>
      <c r="M829" s="36"/>
      <c r="N829" s="35"/>
      <c r="O829" s="35"/>
      <c r="P829" s="35"/>
      <c r="Q829" s="36"/>
      <c r="R829" s="36"/>
      <c r="S829" s="36"/>
      <c r="T829" s="46"/>
      <c r="U829" s="36"/>
      <c r="V829" s="35"/>
      <c r="W829" s="38" t="str">
        <f t="shared" si="12"/>
        <v/>
      </c>
    </row>
    <row r="830" spans="1:23" x14ac:dyDescent="0.35">
      <c r="A830" s="46"/>
      <c r="B830" s="36"/>
      <c r="C830" s="35"/>
      <c r="D830" s="24"/>
      <c r="E830" s="35"/>
      <c r="F830" s="35"/>
      <c r="G830" s="36"/>
      <c r="H830" s="36"/>
      <c r="I830" s="36"/>
      <c r="J830" s="36"/>
      <c r="K830" s="36"/>
      <c r="L830" s="36"/>
      <c r="M830" s="36"/>
      <c r="N830" s="35"/>
      <c r="O830" s="35"/>
      <c r="P830" s="35"/>
      <c r="Q830" s="36"/>
      <c r="R830" s="36"/>
      <c r="S830" s="36"/>
      <c r="T830" s="46"/>
      <c r="U830" s="36"/>
      <c r="V830" s="35"/>
      <c r="W830" s="38" t="str">
        <f t="shared" si="12"/>
        <v/>
      </c>
    </row>
    <row r="831" spans="1:23" x14ac:dyDescent="0.35">
      <c r="A831" s="46"/>
      <c r="B831" s="36"/>
      <c r="C831" s="35"/>
      <c r="D831" s="24"/>
      <c r="E831" s="35"/>
      <c r="F831" s="35"/>
      <c r="G831" s="36"/>
      <c r="H831" s="36"/>
      <c r="I831" s="36"/>
      <c r="J831" s="36"/>
      <c r="K831" s="36"/>
      <c r="L831" s="36"/>
      <c r="M831" s="36"/>
      <c r="N831" s="35"/>
      <c r="O831" s="35"/>
      <c r="P831" s="35"/>
      <c r="Q831" s="36"/>
      <c r="R831" s="36"/>
      <c r="S831" s="36"/>
      <c r="T831" s="46"/>
      <c r="U831" s="36"/>
      <c r="V831" s="35"/>
      <c r="W831" s="38" t="str">
        <f t="shared" si="12"/>
        <v/>
      </c>
    </row>
    <row r="832" spans="1:23" x14ac:dyDescent="0.35">
      <c r="A832" s="46"/>
      <c r="B832" s="36"/>
      <c r="C832" s="35"/>
      <c r="D832" s="24"/>
      <c r="E832" s="35"/>
      <c r="F832" s="35"/>
      <c r="G832" s="36"/>
      <c r="H832" s="36"/>
      <c r="I832" s="36"/>
      <c r="J832" s="36"/>
      <c r="K832" s="36"/>
      <c r="L832" s="36"/>
      <c r="M832" s="36"/>
      <c r="N832" s="35"/>
      <c r="O832" s="35"/>
      <c r="P832" s="35"/>
      <c r="Q832" s="36"/>
      <c r="R832" s="36"/>
      <c r="S832" s="36"/>
      <c r="T832" s="46"/>
      <c r="U832" s="36"/>
      <c r="V832" s="35"/>
      <c r="W832" s="38" t="str">
        <f t="shared" si="12"/>
        <v/>
      </c>
    </row>
    <row r="833" spans="1:23" x14ac:dyDescent="0.35">
      <c r="A833" s="46"/>
      <c r="B833" s="36"/>
      <c r="C833" s="35"/>
      <c r="D833" s="24"/>
      <c r="E833" s="35"/>
      <c r="F833" s="35"/>
      <c r="G833" s="36"/>
      <c r="H833" s="36"/>
      <c r="I833" s="36"/>
      <c r="J833" s="36"/>
      <c r="K833" s="36"/>
      <c r="L833" s="36"/>
      <c r="M833" s="36"/>
      <c r="N833" s="35"/>
      <c r="O833" s="35"/>
      <c r="P833" s="35"/>
      <c r="Q833" s="36"/>
      <c r="R833" s="36"/>
      <c r="S833" s="36"/>
      <c r="T833" s="46"/>
      <c r="U833" s="36"/>
      <c r="V833" s="35"/>
      <c r="W833" s="38" t="str">
        <f t="shared" si="12"/>
        <v/>
      </c>
    </row>
    <row r="834" spans="1:23" x14ac:dyDescent="0.35">
      <c r="A834" s="46"/>
      <c r="B834" s="36"/>
      <c r="C834" s="35"/>
      <c r="D834" s="24"/>
      <c r="E834" s="35"/>
      <c r="F834" s="35"/>
      <c r="G834" s="36"/>
      <c r="H834" s="36"/>
      <c r="I834" s="36"/>
      <c r="J834" s="36"/>
      <c r="K834" s="36"/>
      <c r="L834" s="36"/>
      <c r="M834" s="36"/>
      <c r="N834" s="35"/>
      <c r="O834" s="35"/>
      <c r="P834" s="35"/>
      <c r="Q834" s="36"/>
      <c r="R834" s="36"/>
      <c r="S834" s="36"/>
      <c r="T834" s="46"/>
      <c r="U834" s="36"/>
      <c r="V834" s="35"/>
      <c r="W834" s="38" t="str">
        <f t="shared" si="12"/>
        <v/>
      </c>
    </row>
    <row r="835" spans="1:23" x14ac:dyDescent="0.35">
      <c r="A835" s="46"/>
      <c r="B835" s="36"/>
      <c r="C835" s="35"/>
      <c r="D835" s="24"/>
      <c r="E835" s="35"/>
      <c r="F835" s="35"/>
      <c r="G835" s="36"/>
      <c r="H835" s="36"/>
      <c r="I835" s="36"/>
      <c r="J835" s="36"/>
      <c r="K835" s="36"/>
      <c r="L835" s="36"/>
      <c r="M835" s="36"/>
      <c r="N835" s="35"/>
      <c r="O835" s="35"/>
      <c r="P835" s="35"/>
      <c r="Q835" s="36"/>
      <c r="R835" s="36"/>
      <c r="S835" s="36"/>
      <c r="T835" s="46"/>
      <c r="U835" s="36"/>
      <c r="V835" s="35"/>
      <c r="W835" s="38" t="str">
        <f t="shared" si="12"/>
        <v/>
      </c>
    </row>
    <row r="836" spans="1:23" x14ac:dyDescent="0.35">
      <c r="A836" s="46"/>
      <c r="B836" s="36"/>
      <c r="C836" s="35"/>
      <c r="D836" s="24"/>
      <c r="E836" s="35"/>
      <c r="F836" s="35"/>
      <c r="G836" s="36"/>
      <c r="H836" s="36"/>
      <c r="I836" s="36"/>
      <c r="J836" s="36"/>
      <c r="K836" s="36"/>
      <c r="L836" s="36"/>
      <c r="M836" s="36"/>
      <c r="N836" s="35"/>
      <c r="O836" s="35"/>
      <c r="P836" s="35"/>
      <c r="Q836" s="36"/>
      <c r="R836" s="36"/>
      <c r="S836" s="36"/>
      <c r="T836" s="46"/>
      <c r="U836" s="36"/>
      <c r="V836" s="35"/>
      <c r="W836" s="38" t="str">
        <f t="shared" si="12"/>
        <v/>
      </c>
    </row>
    <row r="837" spans="1:23" x14ac:dyDescent="0.35">
      <c r="A837" s="46"/>
      <c r="B837" s="36"/>
      <c r="C837" s="35"/>
      <c r="D837" s="24"/>
      <c r="E837" s="35"/>
      <c r="F837" s="35"/>
      <c r="G837" s="36"/>
      <c r="H837" s="36"/>
      <c r="I837" s="36"/>
      <c r="J837" s="36"/>
      <c r="K837" s="36"/>
      <c r="L837" s="36"/>
      <c r="M837" s="36"/>
      <c r="N837" s="35"/>
      <c r="O837" s="35"/>
      <c r="P837" s="35"/>
      <c r="Q837" s="36"/>
      <c r="R837" s="36"/>
      <c r="S837" s="36"/>
      <c r="T837" s="46"/>
      <c r="U837" s="36"/>
      <c r="V837" s="35"/>
      <c r="W837" s="38" t="str">
        <f t="shared" si="12"/>
        <v/>
      </c>
    </row>
    <row r="838" spans="1:23" x14ac:dyDescent="0.35">
      <c r="A838" s="46"/>
      <c r="B838" s="36"/>
      <c r="C838" s="35"/>
      <c r="D838" s="24"/>
      <c r="E838" s="35"/>
      <c r="F838" s="35"/>
      <c r="G838" s="36"/>
      <c r="H838" s="36"/>
      <c r="I838" s="36"/>
      <c r="J838" s="36"/>
      <c r="K838" s="36"/>
      <c r="L838" s="36"/>
      <c r="M838" s="36"/>
      <c r="N838" s="35"/>
      <c r="O838" s="35"/>
      <c r="P838" s="35"/>
      <c r="Q838" s="36"/>
      <c r="R838" s="36"/>
      <c r="S838" s="36"/>
      <c r="T838" s="46"/>
      <c r="U838" s="36"/>
      <c r="V838" s="35"/>
      <c r="W838" s="38" t="str">
        <f t="shared" ref="W838:W901" si="13">IF(OR(A838="",C838=""),"",INT(A838)&amp;"|"&amp;C838)</f>
        <v/>
      </c>
    </row>
    <row r="839" spans="1:23" x14ac:dyDescent="0.35">
      <c r="A839" s="46"/>
      <c r="B839" s="36"/>
      <c r="C839" s="35"/>
      <c r="D839" s="24"/>
      <c r="E839" s="35"/>
      <c r="F839" s="35"/>
      <c r="G839" s="36"/>
      <c r="H839" s="36"/>
      <c r="I839" s="36"/>
      <c r="J839" s="36"/>
      <c r="K839" s="36"/>
      <c r="L839" s="36"/>
      <c r="M839" s="36"/>
      <c r="N839" s="35"/>
      <c r="O839" s="35"/>
      <c r="P839" s="35"/>
      <c r="Q839" s="36"/>
      <c r="R839" s="36"/>
      <c r="S839" s="36"/>
      <c r="T839" s="46"/>
      <c r="U839" s="36"/>
      <c r="V839" s="35"/>
      <c r="W839" s="38" t="str">
        <f t="shared" si="13"/>
        <v/>
      </c>
    </row>
    <row r="840" spans="1:23" x14ac:dyDescent="0.35">
      <c r="A840" s="46"/>
      <c r="B840" s="36"/>
      <c r="C840" s="35"/>
      <c r="D840" s="24"/>
      <c r="E840" s="35"/>
      <c r="F840" s="35"/>
      <c r="G840" s="36"/>
      <c r="H840" s="36"/>
      <c r="I840" s="36"/>
      <c r="J840" s="36"/>
      <c r="K840" s="36"/>
      <c r="L840" s="36"/>
      <c r="M840" s="36"/>
      <c r="N840" s="35"/>
      <c r="O840" s="35"/>
      <c r="P840" s="35"/>
      <c r="Q840" s="36"/>
      <c r="R840" s="36"/>
      <c r="S840" s="36"/>
      <c r="T840" s="46"/>
      <c r="U840" s="36"/>
      <c r="V840" s="35"/>
      <c r="W840" s="38" t="str">
        <f t="shared" si="13"/>
        <v/>
      </c>
    </row>
    <row r="841" spans="1:23" x14ac:dyDescent="0.35">
      <c r="A841" s="46"/>
      <c r="B841" s="36"/>
      <c r="C841" s="35"/>
      <c r="D841" s="24"/>
      <c r="E841" s="35"/>
      <c r="F841" s="35"/>
      <c r="G841" s="36"/>
      <c r="H841" s="36"/>
      <c r="I841" s="36"/>
      <c r="J841" s="36"/>
      <c r="K841" s="36"/>
      <c r="L841" s="36"/>
      <c r="M841" s="36"/>
      <c r="N841" s="35"/>
      <c r="O841" s="35"/>
      <c r="P841" s="35"/>
      <c r="Q841" s="36"/>
      <c r="R841" s="36"/>
      <c r="S841" s="36"/>
      <c r="T841" s="46"/>
      <c r="U841" s="36"/>
      <c r="V841" s="35"/>
      <c r="W841" s="38" t="str">
        <f t="shared" si="13"/>
        <v/>
      </c>
    </row>
    <row r="842" spans="1:23" x14ac:dyDescent="0.35">
      <c r="A842" s="46"/>
      <c r="B842" s="36"/>
      <c r="C842" s="35"/>
      <c r="D842" s="24"/>
      <c r="E842" s="35"/>
      <c r="F842" s="35"/>
      <c r="G842" s="36"/>
      <c r="H842" s="36"/>
      <c r="I842" s="36"/>
      <c r="J842" s="36"/>
      <c r="K842" s="36"/>
      <c r="L842" s="36"/>
      <c r="M842" s="36"/>
      <c r="N842" s="35"/>
      <c r="O842" s="35"/>
      <c r="P842" s="35"/>
      <c r="Q842" s="36"/>
      <c r="R842" s="36"/>
      <c r="S842" s="36"/>
      <c r="T842" s="46"/>
      <c r="U842" s="36"/>
      <c r="V842" s="35"/>
      <c r="W842" s="38" t="str">
        <f t="shared" si="13"/>
        <v/>
      </c>
    </row>
    <row r="843" spans="1:23" x14ac:dyDescent="0.35">
      <c r="A843" s="46"/>
      <c r="B843" s="36"/>
      <c r="C843" s="35"/>
      <c r="D843" s="24"/>
      <c r="E843" s="35"/>
      <c r="F843" s="35"/>
      <c r="G843" s="36"/>
      <c r="H843" s="36"/>
      <c r="I843" s="36"/>
      <c r="J843" s="36"/>
      <c r="K843" s="36"/>
      <c r="L843" s="36"/>
      <c r="M843" s="36"/>
      <c r="N843" s="35"/>
      <c r="O843" s="35"/>
      <c r="P843" s="35"/>
      <c r="Q843" s="36"/>
      <c r="R843" s="36"/>
      <c r="S843" s="36"/>
      <c r="T843" s="46"/>
      <c r="U843" s="36"/>
      <c r="V843" s="35"/>
      <c r="W843" s="38" t="str">
        <f t="shared" si="13"/>
        <v/>
      </c>
    </row>
    <row r="844" spans="1:23" x14ac:dyDescent="0.35">
      <c r="A844" s="46"/>
      <c r="B844" s="36"/>
      <c r="C844" s="35"/>
      <c r="D844" s="24"/>
      <c r="E844" s="35"/>
      <c r="F844" s="35"/>
      <c r="G844" s="36"/>
      <c r="H844" s="36"/>
      <c r="I844" s="36"/>
      <c r="J844" s="36"/>
      <c r="K844" s="36"/>
      <c r="L844" s="36"/>
      <c r="M844" s="36"/>
      <c r="N844" s="35"/>
      <c r="O844" s="35"/>
      <c r="P844" s="35"/>
      <c r="Q844" s="36"/>
      <c r="R844" s="36"/>
      <c r="S844" s="36"/>
      <c r="T844" s="46"/>
      <c r="U844" s="36"/>
      <c r="V844" s="35"/>
      <c r="W844" s="38" t="str">
        <f t="shared" si="13"/>
        <v/>
      </c>
    </row>
    <row r="845" spans="1:23" x14ac:dyDescent="0.35">
      <c r="A845" s="46"/>
      <c r="B845" s="36"/>
      <c r="C845" s="35"/>
      <c r="D845" s="24"/>
      <c r="E845" s="35"/>
      <c r="F845" s="35"/>
      <c r="G845" s="36"/>
      <c r="H845" s="36"/>
      <c r="I845" s="36"/>
      <c r="J845" s="36"/>
      <c r="K845" s="36"/>
      <c r="L845" s="36"/>
      <c r="M845" s="36"/>
      <c r="N845" s="35"/>
      <c r="O845" s="35"/>
      <c r="P845" s="35"/>
      <c r="Q845" s="36"/>
      <c r="R845" s="36"/>
      <c r="S845" s="36"/>
      <c r="T845" s="46"/>
      <c r="U845" s="36"/>
      <c r="V845" s="35"/>
      <c r="W845" s="38" t="str">
        <f t="shared" si="13"/>
        <v/>
      </c>
    </row>
    <row r="846" spans="1:23" x14ac:dyDescent="0.35">
      <c r="A846" s="46"/>
      <c r="B846" s="36"/>
      <c r="C846" s="35"/>
      <c r="D846" s="24"/>
      <c r="E846" s="35"/>
      <c r="F846" s="35"/>
      <c r="G846" s="36"/>
      <c r="H846" s="36"/>
      <c r="I846" s="36"/>
      <c r="J846" s="36"/>
      <c r="K846" s="36"/>
      <c r="L846" s="36"/>
      <c r="M846" s="36"/>
      <c r="N846" s="35"/>
      <c r="O846" s="35"/>
      <c r="P846" s="35"/>
      <c r="Q846" s="36"/>
      <c r="R846" s="36"/>
      <c r="S846" s="36"/>
      <c r="T846" s="46"/>
      <c r="U846" s="36"/>
      <c r="V846" s="35"/>
      <c r="W846" s="38" t="str">
        <f t="shared" si="13"/>
        <v/>
      </c>
    </row>
    <row r="847" spans="1:23" x14ac:dyDescent="0.35">
      <c r="A847" s="46"/>
      <c r="B847" s="36"/>
      <c r="C847" s="35"/>
      <c r="D847" s="24"/>
      <c r="E847" s="35"/>
      <c r="F847" s="35"/>
      <c r="G847" s="36"/>
      <c r="H847" s="36"/>
      <c r="I847" s="36"/>
      <c r="J847" s="36"/>
      <c r="K847" s="36"/>
      <c r="L847" s="36"/>
      <c r="M847" s="36"/>
      <c r="N847" s="35"/>
      <c r="O847" s="35"/>
      <c r="P847" s="35"/>
      <c r="Q847" s="36"/>
      <c r="R847" s="36"/>
      <c r="S847" s="36"/>
      <c r="T847" s="46"/>
      <c r="U847" s="36"/>
      <c r="V847" s="35"/>
      <c r="W847" s="38" t="str">
        <f t="shared" si="13"/>
        <v/>
      </c>
    </row>
    <row r="848" spans="1:23" x14ac:dyDescent="0.35">
      <c r="A848" s="46"/>
      <c r="B848" s="36"/>
      <c r="C848" s="35"/>
      <c r="D848" s="24"/>
      <c r="E848" s="35"/>
      <c r="F848" s="35"/>
      <c r="G848" s="36"/>
      <c r="H848" s="36"/>
      <c r="I848" s="36"/>
      <c r="J848" s="36"/>
      <c r="K848" s="36"/>
      <c r="L848" s="36"/>
      <c r="M848" s="36"/>
      <c r="N848" s="35"/>
      <c r="O848" s="35"/>
      <c r="P848" s="35"/>
      <c r="Q848" s="36"/>
      <c r="R848" s="36"/>
      <c r="S848" s="36"/>
      <c r="T848" s="46"/>
      <c r="U848" s="36"/>
      <c r="V848" s="35"/>
      <c r="W848" s="38" t="str">
        <f t="shared" si="13"/>
        <v/>
      </c>
    </row>
    <row r="849" spans="1:23" x14ac:dyDescent="0.35">
      <c r="A849" s="46"/>
      <c r="B849" s="36"/>
      <c r="C849" s="35"/>
      <c r="D849" s="24"/>
      <c r="E849" s="35"/>
      <c r="F849" s="35"/>
      <c r="G849" s="36"/>
      <c r="H849" s="36"/>
      <c r="I849" s="36"/>
      <c r="J849" s="36"/>
      <c r="K849" s="36"/>
      <c r="L849" s="36"/>
      <c r="M849" s="36"/>
      <c r="N849" s="35"/>
      <c r="O849" s="35"/>
      <c r="P849" s="35"/>
      <c r="Q849" s="36"/>
      <c r="R849" s="36"/>
      <c r="S849" s="36"/>
      <c r="T849" s="46"/>
      <c r="U849" s="36"/>
      <c r="V849" s="35"/>
      <c r="W849" s="38" t="str">
        <f t="shared" si="13"/>
        <v/>
      </c>
    </row>
    <row r="850" spans="1:23" x14ac:dyDescent="0.35">
      <c r="A850" s="46"/>
      <c r="B850" s="36"/>
      <c r="C850" s="35"/>
      <c r="D850" s="24"/>
      <c r="E850" s="35"/>
      <c r="F850" s="35"/>
      <c r="G850" s="36"/>
      <c r="H850" s="36"/>
      <c r="I850" s="36"/>
      <c r="J850" s="36"/>
      <c r="K850" s="36"/>
      <c r="L850" s="36"/>
      <c r="M850" s="36"/>
      <c r="N850" s="35"/>
      <c r="O850" s="35"/>
      <c r="P850" s="35"/>
      <c r="Q850" s="36"/>
      <c r="R850" s="36"/>
      <c r="S850" s="36"/>
      <c r="T850" s="46"/>
      <c r="U850" s="36"/>
      <c r="V850" s="35"/>
      <c r="W850" s="38" t="str">
        <f t="shared" si="13"/>
        <v/>
      </c>
    </row>
    <row r="851" spans="1:23" x14ac:dyDescent="0.35">
      <c r="A851" s="46"/>
      <c r="B851" s="36"/>
      <c r="C851" s="35"/>
      <c r="D851" s="24"/>
      <c r="E851" s="35"/>
      <c r="F851" s="35"/>
      <c r="G851" s="36"/>
      <c r="H851" s="36"/>
      <c r="I851" s="36"/>
      <c r="J851" s="36"/>
      <c r="K851" s="36"/>
      <c r="L851" s="36"/>
      <c r="M851" s="36"/>
      <c r="N851" s="35"/>
      <c r="O851" s="35"/>
      <c r="P851" s="35"/>
      <c r="Q851" s="36"/>
      <c r="R851" s="36"/>
      <c r="S851" s="36"/>
      <c r="T851" s="46"/>
      <c r="U851" s="36"/>
      <c r="V851" s="35"/>
      <c r="W851" s="38" t="str">
        <f t="shared" si="13"/>
        <v/>
      </c>
    </row>
    <row r="852" spans="1:23" x14ac:dyDescent="0.35">
      <c r="A852" s="46"/>
      <c r="B852" s="36"/>
      <c r="C852" s="35"/>
      <c r="D852" s="24"/>
      <c r="E852" s="35"/>
      <c r="F852" s="35"/>
      <c r="G852" s="36"/>
      <c r="H852" s="36"/>
      <c r="I852" s="36"/>
      <c r="J852" s="36"/>
      <c r="K852" s="36"/>
      <c r="L852" s="36"/>
      <c r="M852" s="36"/>
      <c r="N852" s="35"/>
      <c r="O852" s="35"/>
      <c r="P852" s="35"/>
      <c r="Q852" s="36"/>
      <c r="R852" s="36"/>
      <c r="S852" s="36"/>
      <c r="T852" s="46"/>
      <c r="U852" s="36"/>
      <c r="V852" s="35"/>
      <c r="W852" s="38" t="str">
        <f t="shared" si="13"/>
        <v/>
      </c>
    </row>
    <row r="853" spans="1:23" x14ac:dyDescent="0.35">
      <c r="A853" s="46"/>
      <c r="B853" s="36"/>
      <c r="C853" s="35"/>
      <c r="D853" s="24"/>
      <c r="E853" s="35"/>
      <c r="F853" s="35"/>
      <c r="G853" s="36"/>
      <c r="H853" s="36"/>
      <c r="I853" s="36"/>
      <c r="J853" s="36"/>
      <c r="K853" s="36"/>
      <c r="L853" s="36"/>
      <c r="M853" s="36"/>
      <c r="N853" s="35"/>
      <c r="O853" s="35"/>
      <c r="P853" s="35"/>
      <c r="Q853" s="36"/>
      <c r="R853" s="36"/>
      <c r="S853" s="36"/>
      <c r="T853" s="46"/>
      <c r="U853" s="36"/>
      <c r="V853" s="35"/>
      <c r="W853" s="38" t="str">
        <f t="shared" si="13"/>
        <v/>
      </c>
    </row>
    <row r="854" spans="1:23" x14ac:dyDescent="0.35">
      <c r="A854" s="46"/>
      <c r="B854" s="36"/>
      <c r="C854" s="35"/>
      <c r="D854" s="24"/>
      <c r="E854" s="35"/>
      <c r="F854" s="35"/>
      <c r="G854" s="36"/>
      <c r="H854" s="36"/>
      <c r="I854" s="36"/>
      <c r="J854" s="36"/>
      <c r="K854" s="36"/>
      <c r="L854" s="36"/>
      <c r="M854" s="36"/>
      <c r="N854" s="35"/>
      <c r="O854" s="35"/>
      <c r="P854" s="35"/>
      <c r="Q854" s="36"/>
      <c r="R854" s="36"/>
      <c r="S854" s="36"/>
      <c r="T854" s="46"/>
      <c r="U854" s="36"/>
      <c r="V854" s="35"/>
      <c r="W854" s="38" t="str">
        <f t="shared" si="13"/>
        <v/>
      </c>
    </row>
    <row r="855" spans="1:23" x14ac:dyDescent="0.35">
      <c r="A855" s="46"/>
      <c r="B855" s="36"/>
      <c r="C855" s="35"/>
      <c r="D855" s="24"/>
      <c r="E855" s="35"/>
      <c r="F855" s="35"/>
      <c r="G855" s="36"/>
      <c r="H855" s="36"/>
      <c r="I855" s="36"/>
      <c r="J855" s="36"/>
      <c r="K855" s="36"/>
      <c r="L855" s="36"/>
      <c r="M855" s="36"/>
      <c r="N855" s="35"/>
      <c r="O855" s="35"/>
      <c r="P855" s="35"/>
      <c r="Q855" s="36"/>
      <c r="R855" s="36"/>
      <c r="S855" s="36"/>
      <c r="T855" s="46"/>
      <c r="U855" s="36"/>
      <c r="V855" s="35"/>
      <c r="W855" s="38" t="str">
        <f t="shared" si="13"/>
        <v/>
      </c>
    </row>
    <row r="856" spans="1:23" x14ac:dyDescent="0.35">
      <c r="A856" s="46"/>
      <c r="B856" s="36"/>
      <c r="C856" s="35"/>
      <c r="D856" s="24"/>
      <c r="E856" s="35"/>
      <c r="F856" s="35"/>
      <c r="G856" s="36"/>
      <c r="H856" s="36"/>
      <c r="I856" s="36"/>
      <c r="J856" s="36"/>
      <c r="K856" s="36"/>
      <c r="L856" s="36"/>
      <c r="M856" s="36"/>
      <c r="N856" s="35"/>
      <c r="O856" s="35"/>
      <c r="P856" s="35"/>
      <c r="Q856" s="36"/>
      <c r="R856" s="36"/>
      <c r="S856" s="36"/>
      <c r="T856" s="46"/>
      <c r="U856" s="36"/>
      <c r="V856" s="35"/>
      <c r="W856" s="38" t="str">
        <f t="shared" si="13"/>
        <v/>
      </c>
    </row>
    <row r="857" spans="1:23" x14ac:dyDescent="0.35">
      <c r="A857" s="46"/>
      <c r="B857" s="36"/>
      <c r="C857" s="35"/>
      <c r="D857" s="24"/>
      <c r="E857" s="35"/>
      <c r="F857" s="35"/>
      <c r="G857" s="36"/>
      <c r="H857" s="36"/>
      <c r="I857" s="36"/>
      <c r="J857" s="36"/>
      <c r="K857" s="36"/>
      <c r="L857" s="36"/>
      <c r="M857" s="36"/>
      <c r="N857" s="35"/>
      <c r="O857" s="35"/>
      <c r="P857" s="35"/>
      <c r="Q857" s="36"/>
      <c r="R857" s="36"/>
      <c r="S857" s="36"/>
      <c r="T857" s="46"/>
      <c r="U857" s="36"/>
      <c r="V857" s="35"/>
      <c r="W857" s="38" t="str">
        <f t="shared" si="13"/>
        <v/>
      </c>
    </row>
    <row r="858" spans="1:23" x14ac:dyDescent="0.35">
      <c r="A858" s="46"/>
      <c r="B858" s="36"/>
      <c r="C858" s="35"/>
      <c r="D858" s="24"/>
      <c r="E858" s="35"/>
      <c r="F858" s="35"/>
      <c r="G858" s="36"/>
      <c r="H858" s="36"/>
      <c r="I858" s="36"/>
      <c r="J858" s="36"/>
      <c r="K858" s="36"/>
      <c r="L858" s="36"/>
      <c r="M858" s="36"/>
      <c r="N858" s="35"/>
      <c r="O858" s="35"/>
      <c r="P858" s="35"/>
      <c r="Q858" s="36"/>
      <c r="R858" s="36"/>
      <c r="S858" s="36"/>
      <c r="T858" s="46"/>
      <c r="U858" s="36"/>
      <c r="V858" s="35"/>
      <c r="W858" s="38" t="str">
        <f t="shared" si="13"/>
        <v/>
      </c>
    </row>
    <row r="859" spans="1:23" x14ac:dyDescent="0.35">
      <c r="A859" s="46"/>
      <c r="B859" s="36"/>
      <c r="C859" s="35"/>
      <c r="D859" s="24"/>
      <c r="E859" s="35"/>
      <c r="F859" s="35"/>
      <c r="G859" s="36"/>
      <c r="H859" s="36"/>
      <c r="I859" s="36"/>
      <c r="J859" s="36"/>
      <c r="K859" s="36"/>
      <c r="L859" s="36"/>
      <c r="M859" s="36"/>
      <c r="N859" s="35"/>
      <c r="O859" s="35"/>
      <c r="P859" s="35"/>
      <c r="Q859" s="36"/>
      <c r="R859" s="36"/>
      <c r="S859" s="36"/>
      <c r="T859" s="46"/>
      <c r="U859" s="36"/>
      <c r="V859" s="35"/>
      <c r="W859" s="38" t="str">
        <f t="shared" si="13"/>
        <v/>
      </c>
    </row>
    <row r="860" spans="1:23" x14ac:dyDescent="0.35">
      <c r="A860" s="46"/>
      <c r="B860" s="36"/>
      <c r="C860" s="35"/>
      <c r="D860" s="24"/>
      <c r="E860" s="35"/>
      <c r="F860" s="35"/>
      <c r="G860" s="36"/>
      <c r="H860" s="36"/>
      <c r="I860" s="36"/>
      <c r="J860" s="36"/>
      <c r="K860" s="36"/>
      <c r="L860" s="36"/>
      <c r="M860" s="36"/>
      <c r="N860" s="35"/>
      <c r="O860" s="35"/>
      <c r="P860" s="35"/>
      <c r="Q860" s="36"/>
      <c r="R860" s="36"/>
      <c r="S860" s="36"/>
      <c r="T860" s="46"/>
      <c r="U860" s="36"/>
      <c r="V860" s="35"/>
      <c r="W860" s="38" t="str">
        <f t="shared" si="13"/>
        <v/>
      </c>
    </row>
    <row r="861" spans="1:23" x14ac:dyDescent="0.35">
      <c r="A861" s="46"/>
      <c r="B861" s="36"/>
      <c r="C861" s="35"/>
      <c r="D861" s="24"/>
      <c r="E861" s="35"/>
      <c r="F861" s="35"/>
      <c r="G861" s="36"/>
      <c r="H861" s="36"/>
      <c r="I861" s="36"/>
      <c r="J861" s="36"/>
      <c r="K861" s="36"/>
      <c r="L861" s="36"/>
      <c r="M861" s="36"/>
      <c r="N861" s="35"/>
      <c r="O861" s="35"/>
      <c r="P861" s="35"/>
      <c r="Q861" s="36"/>
      <c r="R861" s="36"/>
      <c r="S861" s="36"/>
      <c r="T861" s="46"/>
      <c r="U861" s="36"/>
      <c r="V861" s="35"/>
      <c r="W861" s="38" t="str">
        <f t="shared" si="13"/>
        <v/>
      </c>
    </row>
    <row r="862" spans="1:23" x14ac:dyDescent="0.35">
      <c r="A862" s="46"/>
      <c r="B862" s="36"/>
      <c r="C862" s="35"/>
      <c r="D862" s="24"/>
      <c r="E862" s="35"/>
      <c r="F862" s="35"/>
      <c r="G862" s="36"/>
      <c r="H862" s="36"/>
      <c r="I862" s="36"/>
      <c r="J862" s="36"/>
      <c r="K862" s="36"/>
      <c r="L862" s="36"/>
      <c r="M862" s="36"/>
      <c r="N862" s="35"/>
      <c r="O862" s="35"/>
      <c r="P862" s="35"/>
      <c r="Q862" s="36"/>
      <c r="R862" s="36"/>
      <c r="S862" s="36"/>
      <c r="T862" s="46"/>
      <c r="U862" s="36"/>
      <c r="V862" s="35"/>
      <c r="W862" s="38" t="str">
        <f t="shared" si="13"/>
        <v/>
      </c>
    </row>
    <row r="863" spans="1:23" x14ac:dyDescent="0.35">
      <c r="A863" s="46"/>
      <c r="B863" s="36"/>
      <c r="C863" s="35"/>
      <c r="D863" s="24"/>
      <c r="E863" s="35"/>
      <c r="F863" s="35"/>
      <c r="G863" s="36"/>
      <c r="H863" s="36"/>
      <c r="I863" s="36"/>
      <c r="J863" s="36"/>
      <c r="K863" s="36"/>
      <c r="L863" s="36"/>
      <c r="M863" s="36"/>
      <c r="N863" s="35"/>
      <c r="O863" s="35"/>
      <c r="P863" s="35"/>
      <c r="Q863" s="36"/>
      <c r="R863" s="36"/>
      <c r="S863" s="36"/>
      <c r="T863" s="46"/>
      <c r="U863" s="36"/>
      <c r="V863" s="35"/>
      <c r="W863" s="38" t="str">
        <f t="shared" si="13"/>
        <v/>
      </c>
    </row>
    <row r="864" spans="1:23" x14ac:dyDescent="0.35">
      <c r="A864" s="46"/>
      <c r="B864" s="36"/>
      <c r="C864" s="35"/>
      <c r="D864" s="24"/>
      <c r="E864" s="35"/>
      <c r="F864" s="35"/>
      <c r="G864" s="36"/>
      <c r="H864" s="36"/>
      <c r="I864" s="36"/>
      <c r="J864" s="36"/>
      <c r="K864" s="36"/>
      <c r="L864" s="36"/>
      <c r="M864" s="36"/>
      <c r="N864" s="35"/>
      <c r="O864" s="35"/>
      <c r="P864" s="35"/>
      <c r="Q864" s="36"/>
      <c r="R864" s="36"/>
      <c r="S864" s="36"/>
      <c r="T864" s="46"/>
      <c r="U864" s="36"/>
      <c r="V864" s="35"/>
      <c r="W864" s="38" t="str">
        <f t="shared" si="13"/>
        <v/>
      </c>
    </row>
    <row r="865" spans="1:23" x14ac:dyDescent="0.35">
      <c r="A865" s="46"/>
      <c r="B865" s="36"/>
      <c r="C865" s="35"/>
      <c r="D865" s="24"/>
      <c r="E865" s="35"/>
      <c r="F865" s="35"/>
      <c r="G865" s="36"/>
      <c r="H865" s="36"/>
      <c r="I865" s="36"/>
      <c r="J865" s="36"/>
      <c r="K865" s="36"/>
      <c r="L865" s="36"/>
      <c r="M865" s="36"/>
      <c r="N865" s="35"/>
      <c r="O865" s="35"/>
      <c r="P865" s="35"/>
      <c r="Q865" s="36"/>
      <c r="R865" s="36"/>
      <c r="S865" s="36"/>
      <c r="T865" s="46"/>
      <c r="U865" s="36"/>
      <c r="V865" s="35"/>
      <c r="W865" s="38" t="str">
        <f t="shared" si="13"/>
        <v/>
      </c>
    </row>
    <row r="866" spans="1:23" x14ac:dyDescent="0.35">
      <c r="A866" s="46"/>
      <c r="B866" s="36"/>
      <c r="C866" s="35"/>
      <c r="D866" s="24"/>
      <c r="E866" s="35"/>
      <c r="F866" s="35"/>
      <c r="G866" s="36"/>
      <c r="H866" s="36"/>
      <c r="I866" s="36"/>
      <c r="J866" s="36"/>
      <c r="K866" s="36"/>
      <c r="L866" s="36"/>
      <c r="M866" s="36"/>
      <c r="N866" s="35"/>
      <c r="O866" s="35"/>
      <c r="P866" s="35"/>
      <c r="Q866" s="36"/>
      <c r="R866" s="36"/>
      <c r="S866" s="36"/>
      <c r="T866" s="46"/>
      <c r="U866" s="36"/>
      <c r="V866" s="35"/>
      <c r="W866" s="38" t="str">
        <f t="shared" si="13"/>
        <v/>
      </c>
    </row>
    <row r="867" spans="1:23" x14ac:dyDescent="0.35">
      <c r="A867" s="46"/>
      <c r="B867" s="36"/>
      <c r="C867" s="35"/>
      <c r="D867" s="24"/>
      <c r="E867" s="35"/>
      <c r="F867" s="35"/>
      <c r="G867" s="36"/>
      <c r="H867" s="36"/>
      <c r="I867" s="36"/>
      <c r="J867" s="36"/>
      <c r="K867" s="36"/>
      <c r="L867" s="36"/>
      <c r="M867" s="36"/>
      <c r="N867" s="35"/>
      <c r="O867" s="35"/>
      <c r="P867" s="35"/>
      <c r="Q867" s="36"/>
      <c r="R867" s="36"/>
      <c r="S867" s="36"/>
      <c r="T867" s="46"/>
      <c r="U867" s="36"/>
      <c r="V867" s="35"/>
      <c r="W867" s="38" t="str">
        <f t="shared" si="13"/>
        <v/>
      </c>
    </row>
    <row r="868" spans="1:23" x14ac:dyDescent="0.35">
      <c r="A868" s="46"/>
      <c r="B868" s="36"/>
      <c r="C868" s="35"/>
      <c r="D868" s="24"/>
      <c r="E868" s="35"/>
      <c r="F868" s="35"/>
      <c r="G868" s="36"/>
      <c r="H868" s="36"/>
      <c r="I868" s="36"/>
      <c r="J868" s="36"/>
      <c r="K868" s="36"/>
      <c r="L868" s="36"/>
      <c r="M868" s="36"/>
      <c r="N868" s="35"/>
      <c r="O868" s="35"/>
      <c r="P868" s="35"/>
      <c r="Q868" s="36"/>
      <c r="R868" s="36"/>
      <c r="S868" s="36"/>
      <c r="T868" s="46"/>
      <c r="U868" s="36"/>
      <c r="V868" s="35"/>
      <c r="W868" s="38" t="str">
        <f t="shared" si="13"/>
        <v/>
      </c>
    </row>
    <row r="869" spans="1:23" x14ac:dyDescent="0.35">
      <c r="A869" s="46"/>
      <c r="B869" s="36"/>
      <c r="C869" s="35"/>
      <c r="D869" s="24"/>
      <c r="E869" s="35"/>
      <c r="F869" s="35"/>
      <c r="G869" s="36"/>
      <c r="H869" s="36"/>
      <c r="I869" s="36"/>
      <c r="J869" s="36"/>
      <c r="K869" s="36"/>
      <c r="L869" s="36"/>
      <c r="M869" s="36"/>
      <c r="N869" s="35"/>
      <c r="O869" s="35"/>
      <c r="P869" s="35"/>
      <c r="Q869" s="36"/>
      <c r="R869" s="36"/>
      <c r="S869" s="36"/>
      <c r="T869" s="46"/>
      <c r="U869" s="36"/>
      <c r="V869" s="35"/>
      <c r="W869" s="38" t="str">
        <f t="shared" si="13"/>
        <v/>
      </c>
    </row>
    <row r="870" spans="1:23" x14ac:dyDescent="0.35">
      <c r="A870" s="46"/>
      <c r="B870" s="36"/>
      <c r="C870" s="35"/>
      <c r="D870" s="24"/>
      <c r="E870" s="35"/>
      <c r="F870" s="35"/>
      <c r="G870" s="36"/>
      <c r="H870" s="36"/>
      <c r="I870" s="36"/>
      <c r="J870" s="36"/>
      <c r="K870" s="36"/>
      <c r="L870" s="36"/>
      <c r="M870" s="36"/>
      <c r="N870" s="35"/>
      <c r="O870" s="35"/>
      <c r="P870" s="35"/>
      <c r="Q870" s="36"/>
      <c r="R870" s="36"/>
      <c r="S870" s="36"/>
      <c r="T870" s="46"/>
      <c r="U870" s="36"/>
      <c r="V870" s="35"/>
      <c r="W870" s="38" t="str">
        <f t="shared" si="13"/>
        <v/>
      </c>
    </row>
    <row r="871" spans="1:23" x14ac:dyDescent="0.35">
      <c r="A871" s="46"/>
      <c r="B871" s="36"/>
      <c r="C871" s="35"/>
      <c r="D871" s="24"/>
      <c r="E871" s="35"/>
      <c r="F871" s="35"/>
      <c r="G871" s="36"/>
      <c r="H871" s="36"/>
      <c r="I871" s="36"/>
      <c r="J871" s="36"/>
      <c r="K871" s="36"/>
      <c r="L871" s="36"/>
      <c r="M871" s="36"/>
      <c r="N871" s="35"/>
      <c r="O871" s="35"/>
      <c r="P871" s="35"/>
      <c r="Q871" s="36"/>
      <c r="R871" s="36"/>
      <c r="S871" s="36"/>
      <c r="T871" s="46"/>
      <c r="U871" s="36"/>
      <c r="V871" s="35"/>
      <c r="W871" s="38" t="str">
        <f t="shared" si="13"/>
        <v/>
      </c>
    </row>
    <row r="872" spans="1:23" x14ac:dyDescent="0.35">
      <c r="A872" s="46"/>
      <c r="B872" s="36"/>
      <c r="C872" s="35"/>
      <c r="D872" s="24"/>
      <c r="E872" s="35"/>
      <c r="F872" s="35"/>
      <c r="G872" s="36"/>
      <c r="H872" s="36"/>
      <c r="I872" s="36"/>
      <c r="J872" s="36"/>
      <c r="K872" s="36"/>
      <c r="L872" s="36"/>
      <c r="M872" s="36"/>
      <c r="N872" s="35"/>
      <c r="O872" s="35"/>
      <c r="P872" s="35"/>
      <c r="Q872" s="36"/>
      <c r="R872" s="36"/>
      <c r="S872" s="36"/>
      <c r="T872" s="46"/>
      <c r="U872" s="36"/>
      <c r="V872" s="35"/>
      <c r="W872" s="38" t="str">
        <f t="shared" si="13"/>
        <v/>
      </c>
    </row>
    <row r="873" spans="1:23" x14ac:dyDescent="0.35">
      <c r="A873" s="46"/>
      <c r="B873" s="36"/>
      <c r="C873" s="35"/>
      <c r="D873" s="24"/>
      <c r="E873" s="35"/>
      <c r="F873" s="35"/>
      <c r="G873" s="36"/>
      <c r="H873" s="36"/>
      <c r="I873" s="36"/>
      <c r="J873" s="36"/>
      <c r="K873" s="36"/>
      <c r="L873" s="36"/>
      <c r="M873" s="36"/>
      <c r="N873" s="35"/>
      <c r="O873" s="35"/>
      <c r="P873" s="35"/>
      <c r="Q873" s="36"/>
      <c r="R873" s="36"/>
      <c r="S873" s="36"/>
      <c r="T873" s="46"/>
      <c r="U873" s="36"/>
      <c r="V873" s="35"/>
      <c r="W873" s="38" t="str">
        <f t="shared" si="13"/>
        <v/>
      </c>
    </row>
    <row r="874" spans="1:23" x14ac:dyDescent="0.35">
      <c r="A874" s="46"/>
      <c r="B874" s="36"/>
      <c r="C874" s="35"/>
      <c r="D874" s="24"/>
      <c r="E874" s="35"/>
      <c r="F874" s="35"/>
      <c r="G874" s="36"/>
      <c r="H874" s="36"/>
      <c r="I874" s="36"/>
      <c r="J874" s="36"/>
      <c r="K874" s="36"/>
      <c r="L874" s="36"/>
      <c r="M874" s="36"/>
      <c r="N874" s="35"/>
      <c r="O874" s="35"/>
      <c r="P874" s="35"/>
      <c r="Q874" s="36"/>
      <c r="R874" s="36"/>
      <c r="S874" s="36"/>
      <c r="T874" s="46"/>
      <c r="U874" s="36"/>
      <c r="V874" s="35"/>
      <c r="W874" s="38" t="str">
        <f t="shared" si="13"/>
        <v/>
      </c>
    </row>
    <row r="875" spans="1:23" x14ac:dyDescent="0.35">
      <c r="A875" s="46"/>
      <c r="B875" s="36"/>
      <c r="C875" s="35"/>
      <c r="D875" s="24"/>
      <c r="E875" s="35"/>
      <c r="F875" s="35"/>
      <c r="G875" s="36"/>
      <c r="H875" s="36"/>
      <c r="I875" s="36"/>
      <c r="J875" s="36"/>
      <c r="K875" s="36"/>
      <c r="L875" s="36"/>
      <c r="M875" s="36"/>
      <c r="N875" s="35"/>
      <c r="O875" s="35"/>
      <c r="P875" s="35"/>
      <c r="Q875" s="36"/>
      <c r="R875" s="36"/>
      <c r="S875" s="36"/>
      <c r="T875" s="46"/>
      <c r="U875" s="36"/>
      <c r="V875" s="35"/>
      <c r="W875" s="38" t="str">
        <f t="shared" si="13"/>
        <v/>
      </c>
    </row>
    <row r="876" spans="1:23" x14ac:dyDescent="0.35">
      <c r="A876" s="46"/>
      <c r="B876" s="36"/>
      <c r="C876" s="35"/>
      <c r="D876" s="24"/>
      <c r="E876" s="35"/>
      <c r="F876" s="35"/>
      <c r="G876" s="36"/>
      <c r="H876" s="36"/>
      <c r="I876" s="36"/>
      <c r="J876" s="36"/>
      <c r="K876" s="36"/>
      <c r="L876" s="36"/>
      <c r="M876" s="36"/>
      <c r="N876" s="35"/>
      <c r="O876" s="35"/>
      <c r="P876" s="35"/>
      <c r="Q876" s="36"/>
      <c r="R876" s="36"/>
      <c r="S876" s="36"/>
      <c r="T876" s="46"/>
      <c r="U876" s="36"/>
      <c r="V876" s="35"/>
      <c r="W876" s="38" t="str">
        <f t="shared" si="13"/>
        <v/>
      </c>
    </row>
    <row r="877" spans="1:23" x14ac:dyDescent="0.35">
      <c r="A877" s="46"/>
      <c r="B877" s="36"/>
      <c r="C877" s="35"/>
      <c r="D877" s="24"/>
      <c r="E877" s="35"/>
      <c r="F877" s="35"/>
      <c r="G877" s="36"/>
      <c r="H877" s="36"/>
      <c r="I877" s="36"/>
      <c r="J877" s="36"/>
      <c r="K877" s="36"/>
      <c r="L877" s="36"/>
      <c r="M877" s="36"/>
      <c r="N877" s="35"/>
      <c r="O877" s="35"/>
      <c r="P877" s="35"/>
      <c r="Q877" s="36"/>
      <c r="R877" s="36"/>
      <c r="S877" s="36"/>
      <c r="T877" s="46"/>
      <c r="U877" s="36"/>
      <c r="V877" s="35"/>
      <c r="W877" s="38" t="str">
        <f t="shared" si="13"/>
        <v/>
      </c>
    </row>
    <row r="878" spans="1:23" x14ac:dyDescent="0.35">
      <c r="A878" s="46"/>
      <c r="B878" s="36"/>
      <c r="C878" s="35"/>
      <c r="D878" s="24"/>
      <c r="E878" s="35"/>
      <c r="F878" s="35"/>
      <c r="G878" s="36"/>
      <c r="H878" s="36"/>
      <c r="I878" s="36"/>
      <c r="J878" s="36"/>
      <c r="K878" s="36"/>
      <c r="L878" s="36"/>
      <c r="M878" s="36"/>
      <c r="N878" s="35"/>
      <c r="O878" s="35"/>
      <c r="P878" s="35"/>
      <c r="Q878" s="36"/>
      <c r="R878" s="36"/>
      <c r="S878" s="36"/>
      <c r="T878" s="46"/>
      <c r="U878" s="36"/>
      <c r="V878" s="35"/>
      <c r="W878" s="38" t="str">
        <f t="shared" si="13"/>
        <v/>
      </c>
    </row>
    <row r="879" spans="1:23" x14ac:dyDescent="0.35">
      <c r="A879" s="46"/>
      <c r="B879" s="36"/>
      <c r="C879" s="35"/>
      <c r="D879" s="24"/>
      <c r="E879" s="35"/>
      <c r="F879" s="35"/>
      <c r="G879" s="36"/>
      <c r="H879" s="36"/>
      <c r="I879" s="36"/>
      <c r="J879" s="36"/>
      <c r="K879" s="36"/>
      <c r="L879" s="36"/>
      <c r="M879" s="36"/>
      <c r="N879" s="35"/>
      <c r="O879" s="35"/>
      <c r="P879" s="35"/>
      <c r="Q879" s="36"/>
      <c r="R879" s="36"/>
      <c r="S879" s="36"/>
      <c r="T879" s="46"/>
      <c r="U879" s="36"/>
      <c r="V879" s="35"/>
      <c r="W879" s="38" t="str">
        <f t="shared" si="13"/>
        <v/>
      </c>
    </row>
    <row r="880" spans="1:23" x14ac:dyDescent="0.35">
      <c r="A880" s="46"/>
      <c r="B880" s="36"/>
      <c r="C880" s="35"/>
      <c r="D880" s="24"/>
      <c r="E880" s="35"/>
      <c r="F880" s="35"/>
      <c r="G880" s="36"/>
      <c r="H880" s="36"/>
      <c r="I880" s="36"/>
      <c r="J880" s="36"/>
      <c r="K880" s="36"/>
      <c r="L880" s="36"/>
      <c r="M880" s="36"/>
      <c r="N880" s="35"/>
      <c r="O880" s="35"/>
      <c r="P880" s="35"/>
      <c r="Q880" s="36"/>
      <c r="R880" s="36"/>
      <c r="S880" s="36"/>
      <c r="T880" s="46"/>
      <c r="U880" s="36"/>
      <c r="V880" s="35"/>
      <c r="W880" s="38" t="str">
        <f t="shared" si="13"/>
        <v/>
      </c>
    </row>
    <row r="881" spans="1:23" x14ac:dyDescent="0.35">
      <c r="A881" s="46"/>
      <c r="B881" s="36"/>
      <c r="C881" s="35"/>
      <c r="D881" s="24"/>
      <c r="E881" s="35"/>
      <c r="F881" s="35"/>
      <c r="G881" s="36"/>
      <c r="H881" s="36"/>
      <c r="I881" s="36"/>
      <c r="J881" s="36"/>
      <c r="K881" s="36"/>
      <c r="L881" s="36"/>
      <c r="M881" s="36"/>
      <c r="N881" s="35"/>
      <c r="O881" s="35"/>
      <c r="P881" s="35"/>
      <c r="Q881" s="36"/>
      <c r="R881" s="36"/>
      <c r="S881" s="36"/>
      <c r="T881" s="46"/>
      <c r="U881" s="36"/>
      <c r="V881" s="35"/>
      <c r="W881" s="38" t="str">
        <f t="shared" si="13"/>
        <v/>
      </c>
    </row>
    <row r="882" spans="1:23" x14ac:dyDescent="0.35">
      <c r="A882" s="46"/>
      <c r="B882" s="36"/>
      <c r="C882" s="35"/>
      <c r="D882" s="24"/>
      <c r="E882" s="35"/>
      <c r="F882" s="35"/>
      <c r="G882" s="36"/>
      <c r="H882" s="36"/>
      <c r="I882" s="36"/>
      <c r="J882" s="36"/>
      <c r="K882" s="36"/>
      <c r="L882" s="36"/>
      <c r="M882" s="36"/>
      <c r="N882" s="35"/>
      <c r="O882" s="35"/>
      <c r="P882" s="35"/>
      <c r="Q882" s="36"/>
      <c r="R882" s="36"/>
      <c r="S882" s="36"/>
      <c r="T882" s="46"/>
      <c r="U882" s="36"/>
      <c r="V882" s="35"/>
      <c r="W882" s="38" t="str">
        <f t="shared" si="13"/>
        <v/>
      </c>
    </row>
    <row r="883" spans="1:23" x14ac:dyDescent="0.35">
      <c r="A883" s="46"/>
      <c r="B883" s="36"/>
      <c r="C883" s="35"/>
      <c r="D883" s="24"/>
      <c r="E883" s="35"/>
      <c r="F883" s="35"/>
      <c r="G883" s="36"/>
      <c r="H883" s="36"/>
      <c r="I883" s="36"/>
      <c r="J883" s="36"/>
      <c r="K883" s="36"/>
      <c r="L883" s="36"/>
      <c r="M883" s="36"/>
      <c r="N883" s="35"/>
      <c r="O883" s="35"/>
      <c r="P883" s="35"/>
      <c r="Q883" s="36"/>
      <c r="R883" s="36"/>
      <c r="S883" s="36"/>
      <c r="T883" s="46"/>
      <c r="U883" s="36"/>
      <c r="V883" s="35"/>
      <c r="W883" s="38" t="str">
        <f t="shared" si="13"/>
        <v/>
      </c>
    </row>
    <row r="884" spans="1:23" x14ac:dyDescent="0.35">
      <c r="A884" s="46"/>
      <c r="B884" s="36"/>
      <c r="C884" s="35"/>
      <c r="D884" s="24"/>
      <c r="E884" s="35"/>
      <c r="F884" s="35"/>
      <c r="G884" s="36"/>
      <c r="H884" s="36"/>
      <c r="I884" s="36"/>
      <c r="J884" s="36"/>
      <c r="K884" s="36"/>
      <c r="L884" s="36"/>
      <c r="M884" s="36"/>
      <c r="N884" s="35"/>
      <c r="O884" s="35"/>
      <c r="P884" s="35"/>
      <c r="Q884" s="36"/>
      <c r="R884" s="36"/>
      <c r="S884" s="36"/>
      <c r="T884" s="46"/>
      <c r="U884" s="36"/>
      <c r="V884" s="35"/>
      <c r="W884" s="38" t="str">
        <f t="shared" si="13"/>
        <v/>
      </c>
    </row>
    <row r="885" spans="1:23" x14ac:dyDescent="0.35">
      <c r="A885" s="46"/>
      <c r="B885" s="36"/>
      <c r="C885" s="35"/>
      <c r="D885" s="24"/>
      <c r="E885" s="35"/>
      <c r="F885" s="35"/>
      <c r="G885" s="36"/>
      <c r="H885" s="36"/>
      <c r="I885" s="36"/>
      <c r="J885" s="36"/>
      <c r="K885" s="36"/>
      <c r="L885" s="36"/>
      <c r="M885" s="36"/>
      <c r="N885" s="35"/>
      <c r="O885" s="35"/>
      <c r="P885" s="35"/>
      <c r="Q885" s="36"/>
      <c r="R885" s="36"/>
      <c r="S885" s="36"/>
      <c r="T885" s="46"/>
      <c r="U885" s="36"/>
      <c r="V885" s="35"/>
      <c r="W885" s="38" t="str">
        <f t="shared" si="13"/>
        <v/>
      </c>
    </row>
    <row r="886" spans="1:23" x14ac:dyDescent="0.35">
      <c r="A886" s="46"/>
      <c r="B886" s="36"/>
      <c r="C886" s="35"/>
      <c r="D886" s="24"/>
      <c r="E886" s="35"/>
      <c r="F886" s="35"/>
      <c r="G886" s="36"/>
      <c r="H886" s="36"/>
      <c r="I886" s="36"/>
      <c r="J886" s="36"/>
      <c r="K886" s="36"/>
      <c r="L886" s="36"/>
      <c r="M886" s="36"/>
      <c r="N886" s="35"/>
      <c r="O886" s="35"/>
      <c r="P886" s="35"/>
      <c r="Q886" s="36"/>
      <c r="R886" s="36"/>
      <c r="S886" s="36"/>
      <c r="T886" s="46"/>
      <c r="U886" s="36"/>
      <c r="V886" s="35"/>
      <c r="W886" s="38" t="str">
        <f t="shared" si="13"/>
        <v/>
      </c>
    </row>
    <row r="887" spans="1:23" x14ac:dyDescent="0.35">
      <c r="A887" s="46"/>
      <c r="B887" s="36"/>
      <c r="C887" s="35"/>
      <c r="D887" s="24"/>
      <c r="E887" s="35"/>
      <c r="F887" s="35"/>
      <c r="G887" s="36"/>
      <c r="H887" s="36"/>
      <c r="I887" s="36"/>
      <c r="J887" s="36"/>
      <c r="K887" s="36"/>
      <c r="L887" s="36"/>
      <c r="M887" s="36"/>
      <c r="N887" s="35"/>
      <c r="O887" s="35"/>
      <c r="P887" s="35"/>
      <c r="Q887" s="36"/>
      <c r="R887" s="36"/>
      <c r="S887" s="36"/>
      <c r="T887" s="46"/>
      <c r="U887" s="36"/>
      <c r="V887" s="35"/>
      <c r="W887" s="38" t="str">
        <f t="shared" si="13"/>
        <v/>
      </c>
    </row>
    <row r="888" spans="1:23" x14ac:dyDescent="0.35">
      <c r="A888" s="46"/>
      <c r="B888" s="36"/>
      <c r="C888" s="35"/>
      <c r="D888" s="24"/>
      <c r="E888" s="35"/>
      <c r="F888" s="35"/>
      <c r="G888" s="36"/>
      <c r="H888" s="36"/>
      <c r="I888" s="36"/>
      <c r="J888" s="36"/>
      <c r="K888" s="36"/>
      <c r="L888" s="36"/>
      <c r="M888" s="36"/>
      <c r="N888" s="35"/>
      <c r="O888" s="35"/>
      <c r="P888" s="35"/>
      <c r="Q888" s="36"/>
      <c r="R888" s="36"/>
      <c r="S888" s="36"/>
      <c r="T888" s="46"/>
      <c r="U888" s="36"/>
      <c r="V888" s="35"/>
      <c r="W888" s="38" t="str">
        <f t="shared" si="13"/>
        <v/>
      </c>
    </row>
    <row r="889" spans="1:23" x14ac:dyDescent="0.35">
      <c r="A889" s="46"/>
      <c r="B889" s="36"/>
      <c r="C889" s="35"/>
      <c r="D889" s="24"/>
      <c r="E889" s="35"/>
      <c r="F889" s="35"/>
      <c r="G889" s="36"/>
      <c r="H889" s="36"/>
      <c r="I889" s="36"/>
      <c r="J889" s="36"/>
      <c r="K889" s="36"/>
      <c r="L889" s="36"/>
      <c r="M889" s="36"/>
      <c r="N889" s="35"/>
      <c r="O889" s="35"/>
      <c r="P889" s="35"/>
      <c r="Q889" s="36"/>
      <c r="R889" s="36"/>
      <c r="S889" s="36"/>
      <c r="T889" s="46"/>
      <c r="U889" s="36"/>
      <c r="V889" s="35"/>
      <c r="W889" s="38" t="str">
        <f t="shared" si="13"/>
        <v/>
      </c>
    </row>
    <row r="890" spans="1:23" x14ac:dyDescent="0.35">
      <c r="A890" s="46"/>
      <c r="B890" s="36"/>
      <c r="C890" s="35"/>
      <c r="D890" s="24"/>
      <c r="E890" s="35"/>
      <c r="F890" s="35"/>
      <c r="G890" s="36"/>
      <c r="H890" s="36"/>
      <c r="I890" s="36"/>
      <c r="J890" s="36"/>
      <c r="K890" s="36"/>
      <c r="L890" s="36"/>
      <c r="M890" s="36"/>
      <c r="N890" s="35"/>
      <c r="O890" s="35"/>
      <c r="P890" s="35"/>
      <c r="Q890" s="36"/>
      <c r="R890" s="36"/>
      <c r="S890" s="36"/>
      <c r="T890" s="46"/>
      <c r="U890" s="36"/>
      <c r="V890" s="35"/>
      <c r="W890" s="38" t="str">
        <f t="shared" si="13"/>
        <v/>
      </c>
    </row>
    <row r="891" spans="1:23" x14ac:dyDescent="0.35">
      <c r="A891" s="46"/>
      <c r="B891" s="36"/>
      <c r="C891" s="35"/>
      <c r="D891" s="24"/>
      <c r="E891" s="35"/>
      <c r="F891" s="35"/>
      <c r="G891" s="36"/>
      <c r="H891" s="36"/>
      <c r="I891" s="36"/>
      <c r="J891" s="36"/>
      <c r="K891" s="36"/>
      <c r="L891" s="36"/>
      <c r="M891" s="36"/>
      <c r="N891" s="35"/>
      <c r="O891" s="35"/>
      <c r="P891" s="35"/>
      <c r="Q891" s="36"/>
      <c r="R891" s="36"/>
      <c r="S891" s="36"/>
      <c r="T891" s="46"/>
      <c r="U891" s="36"/>
      <c r="V891" s="35"/>
      <c r="W891" s="38" t="str">
        <f t="shared" si="13"/>
        <v/>
      </c>
    </row>
    <row r="892" spans="1:23" x14ac:dyDescent="0.35">
      <c r="A892" s="46"/>
      <c r="B892" s="36"/>
      <c r="C892" s="35"/>
      <c r="D892" s="24"/>
      <c r="E892" s="35"/>
      <c r="F892" s="35"/>
      <c r="G892" s="36"/>
      <c r="H892" s="36"/>
      <c r="I892" s="36"/>
      <c r="J892" s="36"/>
      <c r="K892" s="36"/>
      <c r="L892" s="36"/>
      <c r="M892" s="36"/>
      <c r="N892" s="35"/>
      <c r="O892" s="35"/>
      <c r="P892" s="35"/>
      <c r="Q892" s="36"/>
      <c r="R892" s="36"/>
      <c r="S892" s="36"/>
      <c r="T892" s="46"/>
      <c r="U892" s="36"/>
      <c r="V892" s="35"/>
      <c r="W892" s="38" t="str">
        <f t="shared" si="13"/>
        <v/>
      </c>
    </row>
    <row r="893" spans="1:23" x14ac:dyDescent="0.35">
      <c r="A893" s="46"/>
      <c r="B893" s="36"/>
      <c r="C893" s="35"/>
      <c r="D893" s="24"/>
      <c r="E893" s="35"/>
      <c r="F893" s="35"/>
      <c r="G893" s="36"/>
      <c r="H893" s="36"/>
      <c r="I893" s="36"/>
      <c r="J893" s="36"/>
      <c r="K893" s="36"/>
      <c r="L893" s="36"/>
      <c r="M893" s="36"/>
      <c r="N893" s="35"/>
      <c r="O893" s="35"/>
      <c r="P893" s="35"/>
      <c r="Q893" s="36"/>
      <c r="R893" s="36"/>
      <c r="S893" s="36"/>
      <c r="T893" s="46"/>
      <c r="U893" s="36"/>
      <c r="V893" s="35"/>
      <c r="W893" s="38" t="str">
        <f t="shared" si="13"/>
        <v/>
      </c>
    </row>
    <row r="894" spans="1:23" x14ac:dyDescent="0.35">
      <c r="A894" s="46"/>
      <c r="B894" s="36"/>
      <c r="C894" s="35"/>
      <c r="D894" s="24"/>
      <c r="E894" s="35"/>
      <c r="F894" s="35"/>
      <c r="G894" s="36"/>
      <c r="H894" s="36"/>
      <c r="I894" s="36"/>
      <c r="J894" s="36"/>
      <c r="K894" s="36"/>
      <c r="L894" s="36"/>
      <c r="M894" s="36"/>
      <c r="N894" s="35"/>
      <c r="O894" s="35"/>
      <c r="P894" s="35"/>
      <c r="Q894" s="36"/>
      <c r="R894" s="36"/>
      <c r="S894" s="36"/>
      <c r="T894" s="46"/>
      <c r="U894" s="36"/>
      <c r="V894" s="35"/>
      <c r="W894" s="38" t="str">
        <f t="shared" si="13"/>
        <v/>
      </c>
    </row>
    <row r="895" spans="1:23" x14ac:dyDescent="0.35">
      <c r="A895" s="46"/>
      <c r="B895" s="36"/>
      <c r="C895" s="35"/>
      <c r="D895" s="24"/>
      <c r="E895" s="35"/>
      <c r="F895" s="35"/>
      <c r="G895" s="36"/>
      <c r="H895" s="36"/>
      <c r="I895" s="36"/>
      <c r="J895" s="36"/>
      <c r="K895" s="36"/>
      <c r="L895" s="36"/>
      <c r="M895" s="36"/>
      <c r="N895" s="35"/>
      <c r="O895" s="35"/>
      <c r="P895" s="35"/>
      <c r="Q895" s="36"/>
      <c r="R895" s="36"/>
      <c r="S895" s="36"/>
      <c r="T895" s="46"/>
      <c r="U895" s="36"/>
      <c r="V895" s="35"/>
      <c r="W895" s="38" t="str">
        <f t="shared" si="13"/>
        <v/>
      </c>
    </row>
    <row r="896" spans="1:23" x14ac:dyDescent="0.35">
      <c r="A896" s="46"/>
      <c r="B896" s="36"/>
      <c r="C896" s="35"/>
      <c r="D896" s="24"/>
      <c r="E896" s="35"/>
      <c r="F896" s="35"/>
      <c r="G896" s="36"/>
      <c r="H896" s="36"/>
      <c r="I896" s="36"/>
      <c r="J896" s="36"/>
      <c r="K896" s="36"/>
      <c r="L896" s="36"/>
      <c r="M896" s="36"/>
      <c r="N896" s="35"/>
      <c r="O896" s="35"/>
      <c r="P896" s="35"/>
      <c r="Q896" s="36"/>
      <c r="R896" s="36"/>
      <c r="S896" s="36"/>
      <c r="T896" s="46"/>
      <c r="U896" s="36"/>
      <c r="V896" s="35"/>
      <c r="W896" s="38" t="str">
        <f t="shared" si="13"/>
        <v/>
      </c>
    </row>
    <row r="897" spans="1:23" x14ac:dyDescent="0.35">
      <c r="A897" s="46"/>
      <c r="B897" s="36"/>
      <c r="C897" s="35"/>
      <c r="D897" s="24"/>
      <c r="E897" s="35"/>
      <c r="F897" s="35"/>
      <c r="G897" s="36"/>
      <c r="H897" s="36"/>
      <c r="I897" s="36"/>
      <c r="J897" s="36"/>
      <c r="K897" s="36"/>
      <c r="L897" s="36"/>
      <c r="M897" s="36"/>
      <c r="N897" s="35"/>
      <c r="O897" s="35"/>
      <c r="P897" s="35"/>
      <c r="Q897" s="36"/>
      <c r="R897" s="36"/>
      <c r="S897" s="36"/>
      <c r="T897" s="46"/>
      <c r="U897" s="36"/>
      <c r="V897" s="35"/>
      <c r="W897" s="38" t="str">
        <f t="shared" si="13"/>
        <v/>
      </c>
    </row>
    <row r="898" spans="1:23" x14ac:dyDescent="0.35">
      <c r="A898" s="46"/>
      <c r="B898" s="36"/>
      <c r="C898" s="35"/>
      <c r="D898" s="24"/>
      <c r="E898" s="35"/>
      <c r="F898" s="35"/>
      <c r="G898" s="36"/>
      <c r="H898" s="36"/>
      <c r="I898" s="36"/>
      <c r="J898" s="36"/>
      <c r="K898" s="36"/>
      <c r="L898" s="36"/>
      <c r="M898" s="36"/>
      <c r="N898" s="35"/>
      <c r="O898" s="35"/>
      <c r="P898" s="35"/>
      <c r="Q898" s="36"/>
      <c r="R898" s="36"/>
      <c r="S898" s="36"/>
      <c r="T898" s="46"/>
      <c r="U898" s="36"/>
      <c r="V898" s="35"/>
      <c r="W898" s="38" t="str">
        <f t="shared" si="13"/>
        <v/>
      </c>
    </row>
    <row r="899" spans="1:23" x14ac:dyDescent="0.35">
      <c r="A899" s="46"/>
      <c r="B899" s="36"/>
      <c r="C899" s="35"/>
      <c r="D899" s="24"/>
      <c r="E899" s="35"/>
      <c r="F899" s="35"/>
      <c r="G899" s="36"/>
      <c r="H899" s="36"/>
      <c r="I899" s="36"/>
      <c r="J899" s="36"/>
      <c r="K899" s="36"/>
      <c r="L899" s="36"/>
      <c r="M899" s="36"/>
      <c r="N899" s="35"/>
      <c r="O899" s="35"/>
      <c r="P899" s="35"/>
      <c r="Q899" s="36"/>
      <c r="R899" s="36"/>
      <c r="S899" s="36"/>
      <c r="T899" s="46"/>
      <c r="U899" s="36"/>
      <c r="V899" s="35"/>
      <c r="W899" s="38" t="str">
        <f t="shared" si="13"/>
        <v/>
      </c>
    </row>
    <row r="900" spans="1:23" x14ac:dyDescent="0.35">
      <c r="A900" s="46"/>
      <c r="B900" s="36"/>
      <c r="C900" s="35"/>
      <c r="D900" s="24"/>
      <c r="E900" s="35"/>
      <c r="F900" s="35"/>
      <c r="G900" s="36"/>
      <c r="H900" s="36"/>
      <c r="I900" s="36"/>
      <c r="J900" s="36"/>
      <c r="K900" s="36"/>
      <c r="L900" s="36"/>
      <c r="M900" s="36"/>
      <c r="N900" s="35"/>
      <c r="O900" s="35"/>
      <c r="P900" s="35"/>
      <c r="Q900" s="36"/>
      <c r="R900" s="36"/>
      <c r="S900" s="36"/>
      <c r="T900" s="46"/>
      <c r="U900" s="36"/>
      <c r="V900" s="35"/>
      <c r="W900" s="38" t="str">
        <f t="shared" si="13"/>
        <v/>
      </c>
    </row>
    <row r="901" spans="1:23" x14ac:dyDescent="0.35">
      <c r="A901" s="46"/>
      <c r="B901" s="36"/>
      <c r="C901" s="35"/>
      <c r="D901" s="24"/>
      <c r="E901" s="35"/>
      <c r="F901" s="35"/>
      <c r="G901" s="36"/>
      <c r="H901" s="36"/>
      <c r="I901" s="36"/>
      <c r="J901" s="36"/>
      <c r="K901" s="36"/>
      <c r="L901" s="36"/>
      <c r="M901" s="36"/>
      <c r="N901" s="35"/>
      <c r="O901" s="35"/>
      <c r="P901" s="35"/>
      <c r="Q901" s="36"/>
      <c r="R901" s="36"/>
      <c r="S901" s="36"/>
      <c r="T901" s="46"/>
      <c r="U901" s="36"/>
      <c r="V901" s="35"/>
      <c r="W901" s="38" t="str">
        <f t="shared" si="13"/>
        <v/>
      </c>
    </row>
    <row r="902" spans="1:23" x14ac:dyDescent="0.35">
      <c r="A902" s="46"/>
      <c r="B902" s="36"/>
      <c r="C902" s="35"/>
      <c r="D902" s="24"/>
      <c r="E902" s="35"/>
      <c r="F902" s="35"/>
      <c r="G902" s="36"/>
      <c r="H902" s="36"/>
      <c r="I902" s="36"/>
      <c r="J902" s="36"/>
      <c r="K902" s="36"/>
      <c r="L902" s="36"/>
      <c r="M902" s="36"/>
      <c r="N902" s="35"/>
      <c r="O902" s="35"/>
      <c r="P902" s="35"/>
      <c r="Q902" s="36"/>
      <c r="R902" s="36"/>
      <c r="S902" s="36"/>
      <c r="T902" s="46"/>
      <c r="U902" s="36"/>
      <c r="V902" s="35"/>
      <c r="W902" s="38" t="str">
        <f t="shared" ref="W902:W965" si="14">IF(OR(A902="",C902=""),"",INT(A902)&amp;"|"&amp;C902)</f>
        <v/>
      </c>
    </row>
    <row r="903" spans="1:23" x14ac:dyDescent="0.35">
      <c r="A903" s="46"/>
      <c r="B903" s="36"/>
      <c r="C903" s="35"/>
      <c r="D903" s="24"/>
      <c r="E903" s="35"/>
      <c r="F903" s="35"/>
      <c r="G903" s="36"/>
      <c r="H903" s="36"/>
      <c r="I903" s="36"/>
      <c r="J903" s="36"/>
      <c r="K903" s="36"/>
      <c r="L903" s="36"/>
      <c r="M903" s="36"/>
      <c r="N903" s="35"/>
      <c r="O903" s="35"/>
      <c r="P903" s="35"/>
      <c r="Q903" s="36"/>
      <c r="R903" s="36"/>
      <c r="S903" s="36"/>
      <c r="T903" s="46"/>
      <c r="U903" s="36"/>
      <c r="V903" s="35"/>
      <c r="W903" s="38" t="str">
        <f t="shared" si="14"/>
        <v/>
      </c>
    </row>
    <row r="904" spans="1:23" x14ac:dyDescent="0.35">
      <c r="A904" s="46"/>
      <c r="B904" s="36"/>
      <c r="C904" s="35"/>
      <c r="D904" s="24"/>
      <c r="E904" s="35"/>
      <c r="F904" s="35"/>
      <c r="G904" s="36"/>
      <c r="H904" s="36"/>
      <c r="I904" s="36"/>
      <c r="J904" s="36"/>
      <c r="K904" s="36"/>
      <c r="L904" s="36"/>
      <c r="M904" s="36"/>
      <c r="N904" s="35"/>
      <c r="O904" s="35"/>
      <c r="P904" s="35"/>
      <c r="Q904" s="36"/>
      <c r="R904" s="36"/>
      <c r="S904" s="36"/>
      <c r="T904" s="46"/>
      <c r="U904" s="36"/>
      <c r="V904" s="35"/>
      <c r="W904" s="38" t="str">
        <f t="shared" si="14"/>
        <v/>
      </c>
    </row>
    <row r="905" spans="1:23" x14ac:dyDescent="0.35">
      <c r="A905" s="46"/>
      <c r="B905" s="36"/>
      <c r="C905" s="35"/>
      <c r="D905" s="24"/>
      <c r="E905" s="35"/>
      <c r="F905" s="35"/>
      <c r="G905" s="36"/>
      <c r="H905" s="36"/>
      <c r="I905" s="36"/>
      <c r="J905" s="36"/>
      <c r="K905" s="36"/>
      <c r="L905" s="36"/>
      <c r="M905" s="36"/>
      <c r="N905" s="35"/>
      <c r="O905" s="35"/>
      <c r="P905" s="35"/>
      <c r="Q905" s="36"/>
      <c r="R905" s="36"/>
      <c r="S905" s="36"/>
      <c r="T905" s="46"/>
      <c r="U905" s="36"/>
      <c r="V905" s="35"/>
      <c r="W905" s="38" t="str">
        <f t="shared" si="14"/>
        <v/>
      </c>
    </row>
    <row r="906" spans="1:23" x14ac:dyDescent="0.35">
      <c r="A906" s="46"/>
      <c r="B906" s="36"/>
      <c r="C906" s="35"/>
      <c r="D906" s="24"/>
      <c r="E906" s="35"/>
      <c r="F906" s="35"/>
      <c r="G906" s="36"/>
      <c r="H906" s="36"/>
      <c r="I906" s="36"/>
      <c r="J906" s="36"/>
      <c r="K906" s="36"/>
      <c r="L906" s="36"/>
      <c r="M906" s="36"/>
      <c r="N906" s="35"/>
      <c r="O906" s="35"/>
      <c r="P906" s="35"/>
      <c r="Q906" s="36"/>
      <c r="R906" s="36"/>
      <c r="S906" s="36"/>
      <c r="T906" s="46"/>
      <c r="U906" s="36"/>
      <c r="V906" s="35"/>
      <c r="W906" s="38" t="str">
        <f t="shared" si="14"/>
        <v/>
      </c>
    </row>
    <row r="907" spans="1:23" x14ac:dyDescent="0.35">
      <c r="A907" s="46"/>
      <c r="B907" s="36"/>
      <c r="C907" s="35"/>
      <c r="D907" s="24"/>
      <c r="E907" s="35"/>
      <c r="F907" s="35"/>
      <c r="G907" s="36"/>
      <c r="H907" s="36"/>
      <c r="I907" s="36"/>
      <c r="J907" s="36"/>
      <c r="K907" s="36"/>
      <c r="L907" s="36"/>
      <c r="M907" s="36"/>
      <c r="N907" s="35"/>
      <c r="O907" s="35"/>
      <c r="P907" s="35"/>
      <c r="Q907" s="36"/>
      <c r="R907" s="36"/>
      <c r="S907" s="36"/>
      <c r="T907" s="46"/>
      <c r="U907" s="36"/>
      <c r="V907" s="35"/>
      <c r="W907" s="38" t="str">
        <f t="shared" si="14"/>
        <v/>
      </c>
    </row>
    <row r="908" spans="1:23" x14ac:dyDescent="0.35">
      <c r="A908" s="46"/>
      <c r="B908" s="36"/>
      <c r="C908" s="35"/>
      <c r="D908" s="24"/>
      <c r="E908" s="35"/>
      <c r="F908" s="35"/>
      <c r="G908" s="36"/>
      <c r="H908" s="36"/>
      <c r="I908" s="36"/>
      <c r="J908" s="36"/>
      <c r="K908" s="36"/>
      <c r="L908" s="36"/>
      <c r="M908" s="36"/>
      <c r="N908" s="35"/>
      <c r="O908" s="35"/>
      <c r="P908" s="35"/>
      <c r="Q908" s="36"/>
      <c r="R908" s="36"/>
      <c r="S908" s="36"/>
      <c r="T908" s="46"/>
      <c r="U908" s="36"/>
      <c r="V908" s="35"/>
      <c r="W908" s="38" t="str">
        <f t="shared" si="14"/>
        <v/>
      </c>
    </row>
    <row r="909" spans="1:23" x14ac:dyDescent="0.35">
      <c r="A909" s="46"/>
      <c r="B909" s="36"/>
      <c r="C909" s="35"/>
      <c r="D909" s="24"/>
      <c r="E909" s="35"/>
      <c r="F909" s="35"/>
      <c r="G909" s="36"/>
      <c r="H909" s="36"/>
      <c r="I909" s="36"/>
      <c r="J909" s="36"/>
      <c r="K909" s="36"/>
      <c r="L909" s="36"/>
      <c r="M909" s="36"/>
      <c r="N909" s="35"/>
      <c r="O909" s="35"/>
      <c r="P909" s="35"/>
      <c r="Q909" s="36"/>
      <c r="R909" s="36"/>
      <c r="S909" s="36"/>
      <c r="T909" s="46"/>
      <c r="U909" s="36"/>
      <c r="V909" s="35"/>
      <c r="W909" s="38" t="str">
        <f t="shared" si="14"/>
        <v/>
      </c>
    </row>
    <row r="910" spans="1:23" x14ac:dyDescent="0.35">
      <c r="A910" s="46"/>
      <c r="B910" s="36"/>
      <c r="C910" s="35"/>
      <c r="D910" s="24"/>
      <c r="E910" s="35"/>
      <c r="F910" s="35"/>
      <c r="G910" s="36"/>
      <c r="H910" s="36"/>
      <c r="I910" s="36"/>
      <c r="J910" s="36"/>
      <c r="K910" s="36"/>
      <c r="L910" s="36"/>
      <c r="M910" s="36"/>
      <c r="N910" s="35"/>
      <c r="O910" s="35"/>
      <c r="P910" s="35"/>
      <c r="Q910" s="36"/>
      <c r="R910" s="36"/>
      <c r="S910" s="36"/>
      <c r="T910" s="46"/>
      <c r="U910" s="36"/>
      <c r="V910" s="35"/>
      <c r="W910" s="38" t="str">
        <f t="shared" si="14"/>
        <v/>
      </c>
    </row>
    <row r="911" spans="1:23" x14ac:dyDescent="0.35">
      <c r="A911" s="46"/>
      <c r="B911" s="36"/>
      <c r="C911" s="35"/>
      <c r="D911" s="24"/>
      <c r="E911" s="35"/>
      <c r="F911" s="35"/>
      <c r="G911" s="36"/>
      <c r="H911" s="36"/>
      <c r="I911" s="36"/>
      <c r="J911" s="36"/>
      <c r="K911" s="36"/>
      <c r="L911" s="36"/>
      <c r="M911" s="36"/>
      <c r="N911" s="35"/>
      <c r="O911" s="35"/>
      <c r="P911" s="35"/>
      <c r="Q911" s="36"/>
      <c r="R911" s="36"/>
      <c r="S911" s="36"/>
      <c r="T911" s="46"/>
      <c r="U911" s="36"/>
      <c r="V911" s="35"/>
      <c r="W911" s="38" t="str">
        <f t="shared" si="14"/>
        <v/>
      </c>
    </row>
    <row r="912" spans="1:23" x14ac:dyDescent="0.35">
      <c r="A912" s="46"/>
      <c r="B912" s="36"/>
      <c r="C912" s="35"/>
      <c r="D912" s="24"/>
      <c r="E912" s="35"/>
      <c r="F912" s="35"/>
      <c r="G912" s="36"/>
      <c r="H912" s="36"/>
      <c r="I912" s="36"/>
      <c r="J912" s="36"/>
      <c r="K912" s="36"/>
      <c r="L912" s="36"/>
      <c r="M912" s="36"/>
      <c r="N912" s="35"/>
      <c r="O912" s="35"/>
      <c r="P912" s="35"/>
      <c r="Q912" s="36"/>
      <c r="R912" s="36"/>
      <c r="S912" s="36"/>
      <c r="T912" s="46"/>
      <c r="U912" s="36"/>
      <c r="V912" s="35"/>
      <c r="W912" s="38" t="str">
        <f t="shared" si="14"/>
        <v/>
      </c>
    </row>
    <row r="913" spans="1:23" x14ac:dyDescent="0.35">
      <c r="A913" s="46"/>
      <c r="B913" s="36"/>
      <c r="C913" s="35"/>
      <c r="D913" s="24"/>
      <c r="E913" s="35"/>
      <c r="F913" s="35"/>
      <c r="G913" s="36"/>
      <c r="H913" s="36"/>
      <c r="I913" s="36"/>
      <c r="J913" s="36"/>
      <c r="K913" s="36"/>
      <c r="L913" s="36"/>
      <c r="M913" s="36"/>
      <c r="N913" s="35"/>
      <c r="O913" s="35"/>
      <c r="P913" s="35"/>
      <c r="Q913" s="36"/>
      <c r="R913" s="36"/>
      <c r="S913" s="36"/>
      <c r="T913" s="46"/>
      <c r="U913" s="36"/>
      <c r="V913" s="35"/>
      <c r="W913" s="38" t="str">
        <f t="shared" si="14"/>
        <v/>
      </c>
    </row>
    <row r="914" spans="1:23" x14ac:dyDescent="0.35">
      <c r="A914" s="46"/>
      <c r="B914" s="36"/>
      <c r="C914" s="35"/>
      <c r="D914" s="24"/>
      <c r="E914" s="35"/>
      <c r="F914" s="35"/>
      <c r="G914" s="36"/>
      <c r="H914" s="36"/>
      <c r="I914" s="36"/>
      <c r="J914" s="36"/>
      <c r="K914" s="36"/>
      <c r="L914" s="36"/>
      <c r="M914" s="36"/>
      <c r="N914" s="35"/>
      <c r="O914" s="35"/>
      <c r="P914" s="35"/>
      <c r="Q914" s="36"/>
      <c r="R914" s="36"/>
      <c r="S914" s="36"/>
      <c r="T914" s="46"/>
      <c r="U914" s="36"/>
      <c r="V914" s="35"/>
      <c r="W914" s="38" t="str">
        <f t="shared" si="14"/>
        <v/>
      </c>
    </row>
    <row r="915" spans="1:23" x14ac:dyDescent="0.35">
      <c r="A915" s="46"/>
      <c r="B915" s="36"/>
      <c r="C915" s="35"/>
      <c r="D915" s="24"/>
      <c r="E915" s="35"/>
      <c r="F915" s="35"/>
      <c r="G915" s="36"/>
      <c r="H915" s="36"/>
      <c r="I915" s="36"/>
      <c r="J915" s="36"/>
      <c r="K915" s="36"/>
      <c r="L915" s="36"/>
      <c r="M915" s="36"/>
      <c r="N915" s="35"/>
      <c r="O915" s="35"/>
      <c r="P915" s="35"/>
      <c r="Q915" s="36"/>
      <c r="R915" s="36"/>
      <c r="S915" s="36"/>
      <c r="T915" s="46"/>
      <c r="U915" s="36"/>
      <c r="V915" s="35"/>
      <c r="W915" s="38" t="str">
        <f t="shared" si="14"/>
        <v/>
      </c>
    </row>
    <row r="916" spans="1:23" x14ac:dyDescent="0.35">
      <c r="A916" s="46"/>
      <c r="B916" s="36"/>
      <c r="C916" s="35"/>
      <c r="D916" s="24"/>
      <c r="E916" s="35"/>
      <c r="F916" s="35"/>
      <c r="G916" s="36"/>
      <c r="H916" s="36"/>
      <c r="I916" s="36"/>
      <c r="J916" s="36"/>
      <c r="K916" s="36"/>
      <c r="L916" s="36"/>
      <c r="M916" s="36"/>
      <c r="N916" s="35"/>
      <c r="O916" s="35"/>
      <c r="P916" s="35"/>
      <c r="Q916" s="36"/>
      <c r="R916" s="36"/>
      <c r="S916" s="36"/>
      <c r="T916" s="46"/>
      <c r="U916" s="36"/>
      <c r="V916" s="35"/>
      <c r="W916" s="38" t="str">
        <f t="shared" si="14"/>
        <v/>
      </c>
    </row>
    <row r="917" spans="1:23" x14ac:dyDescent="0.35">
      <c r="A917" s="46"/>
      <c r="B917" s="36"/>
      <c r="C917" s="35"/>
      <c r="D917" s="24"/>
      <c r="E917" s="35"/>
      <c r="F917" s="35"/>
      <c r="G917" s="36"/>
      <c r="H917" s="36"/>
      <c r="I917" s="36"/>
      <c r="J917" s="36"/>
      <c r="K917" s="36"/>
      <c r="L917" s="36"/>
      <c r="M917" s="36"/>
      <c r="N917" s="35"/>
      <c r="O917" s="35"/>
      <c r="P917" s="35"/>
      <c r="Q917" s="36"/>
      <c r="R917" s="36"/>
      <c r="S917" s="36"/>
      <c r="T917" s="46"/>
      <c r="U917" s="36"/>
      <c r="V917" s="35"/>
      <c r="W917" s="38" t="str">
        <f t="shared" si="14"/>
        <v/>
      </c>
    </row>
    <row r="918" spans="1:23" x14ac:dyDescent="0.35">
      <c r="A918" s="46"/>
      <c r="B918" s="36"/>
      <c r="C918" s="35"/>
      <c r="D918" s="24"/>
      <c r="E918" s="35"/>
      <c r="F918" s="35"/>
      <c r="G918" s="36"/>
      <c r="H918" s="36"/>
      <c r="I918" s="36"/>
      <c r="J918" s="36"/>
      <c r="K918" s="36"/>
      <c r="L918" s="36"/>
      <c r="M918" s="36"/>
      <c r="N918" s="35"/>
      <c r="O918" s="35"/>
      <c r="P918" s="35"/>
      <c r="Q918" s="36"/>
      <c r="R918" s="36"/>
      <c r="S918" s="36"/>
      <c r="T918" s="46"/>
      <c r="U918" s="36"/>
      <c r="V918" s="35"/>
      <c r="W918" s="38" t="str">
        <f t="shared" si="14"/>
        <v/>
      </c>
    </row>
    <row r="919" spans="1:23" x14ac:dyDescent="0.35">
      <c r="A919" s="46"/>
      <c r="B919" s="36"/>
      <c r="C919" s="35"/>
      <c r="D919" s="24"/>
      <c r="E919" s="35"/>
      <c r="F919" s="35"/>
      <c r="G919" s="36"/>
      <c r="H919" s="36"/>
      <c r="I919" s="36"/>
      <c r="J919" s="36"/>
      <c r="K919" s="36"/>
      <c r="L919" s="36"/>
      <c r="M919" s="36"/>
      <c r="N919" s="35"/>
      <c r="O919" s="35"/>
      <c r="P919" s="35"/>
      <c r="Q919" s="36"/>
      <c r="R919" s="36"/>
      <c r="S919" s="36"/>
      <c r="T919" s="46"/>
      <c r="U919" s="36"/>
      <c r="V919" s="35"/>
      <c r="W919" s="38" t="str">
        <f t="shared" si="14"/>
        <v/>
      </c>
    </row>
    <row r="920" spans="1:23" x14ac:dyDescent="0.35">
      <c r="A920" s="46"/>
      <c r="B920" s="36"/>
      <c r="C920" s="35"/>
      <c r="D920" s="24"/>
      <c r="E920" s="35"/>
      <c r="F920" s="35"/>
      <c r="G920" s="36"/>
      <c r="H920" s="36"/>
      <c r="I920" s="36"/>
      <c r="J920" s="36"/>
      <c r="K920" s="36"/>
      <c r="L920" s="36"/>
      <c r="M920" s="36"/>
      <c r="N920" s="35"/>
      <c r="O920" s="35"/>
      <c r="P920" s="35"/>
      <c r="Q920" s="36"/>
      <c r="R920" s="36"/>
      <c r="S920" s="36"/>
      <c r="T920" s="46"/>
      <c r="U920" s="36"/>
      <c r="V920" s="35"/>
      <c r="W920" s="38" t="str">
        <f t="shared" si="14"/>
        <v/>
      </c>
    </row>
    <row r="921" spans="1:23" x14ac:dyDescent="0.35">
      <c r="A921" s="46"/>
      <c r="B921" s="36"/>
      <c r="C921" s="35"/>
      <c r="D921" s="24"/>
      <c r="E921" s="35"/>
      <c r="F921" s="35"/>
      <c r="G921" s="36"/>
      <c r="H921" s="36"/>
      <c r="I921" s="36"/>
      <c r="J921" s="36"/>
      <c r="K921" s="36"/>
      <c r="L921" s="36"/>
      <c r="M921" s="36"/>
      <c r="N921" s="35"/>
      <c r="O921" s="35"/>
      <c r="P921" s="35"/>
      <c r="Q921" s="36"/>
      <c r="R921" s="36"/>
      <c r="S921" s="36"/>
      <c r="T921" s="46"/>
      <c r="U921" s="36"/>
      <c r="V921" s="35"/>
      <c r="W921" s="38" t="str">
        <f t="shared" si="14"/>
        <v/>
      </c>
    </row>
    <row r="922" spans="1:23" x14ac:dyDescent="0.35">
      <c r="A922" s="46"/>
      <c r="B922" s="36"/>
      <c r="C922" s="35"/>
      <c r="D922" s="24"/>
      <c r="E922" s="35"/>
      <c r="F922" s="35"/>
      <c r="G922" s="36"/>
      <c r="H922" s="36"/>
      <c r="I922" s="36"/>
      <c r="J922" s="36"/>
      <c r="K922" s="36"/>
      <c r="L922" s="36"/>
      <c r="M922" s="36"/>
      <c r="N922" s="35"/>
      <c r="O922" s="35"/>
      <c r="P922" s="35"/>
      <c r="Q922" s="36"/>
      <c r="R922" s="36"/>
      <c r="S922" s="36"/>
      <c r="T922" s="46"/>
      <c r="U922" s="36"/>
      <c r="V922" s="35"/>
      <c r="W922" s="38" t="str">
        <f t="shared" si="14"/>
        <v/>
      </c>
    </row>
    <row r="923" spans="1:23" x14ac:dyDescent="0.35">
      <c r="A923" s="46"/>
      <c r="B923" s="36"/>
      <c r="C923" s="35"/>
      <c r="D923" s="24"/>
      <c r="E923" s="35"/>
      <c r="F923" s="35"/>
      <c r="G923" s="36"/>
      <c r="H923" s="36"/>
      <c r="I923" s="36"/>
      <c r="J923" s="36"/>
      <c r="K923" s="36"/>
      <c r="L923" s="36"/>
      <c r="M923" s="36"/>
      <c r="N923" s="35"/>
      <c r="O923" s="35"/>
      <c r="P923" s="35"/>
      <c r="Q923" s="36"/>
      <c r="R923" s="36"/>
      <c r="S923" s="36"/>
      <c r="T923" s="46"/>
      <c r="U923" s="36"/>
      <c r="V923" s="35"/>
      <c r="W923" s="38" t="str">
        <f t="shared" si="14"/>
        <v/>
      </c>
    </row>
    <row r="924" spans="1:23" x14ac:dyDescent="0.35">
      <c r="A924" s="46"/>
      <c r="B924" s="36"/>
      <c r="C924" s="35"/>
      <c r="D924" s="24"/>
      <c r="E924" s="35"/>
      <c r="F924" s="35"/>
      <c r="G924" s="36"/>
      <c r="H924" s="36"/>
      <c r="I924" s="36"/>
      <c r="J924" s="36"/>
      <c r="K924" s="36"/>
      <c r="L924" s="36"/>
      <c r="M924" s="36"/>
      <c r="N924" s="35"/>
      <c r="O924" s="35"/>
      <c r="P924" s="35"/>
      <c r="Q924" s="36"/>
      <c r="R924" s="36"/>
      <c r="S924" s="36"/>
      <c r="T924" s="46"/>
      <c r="U924" s="36"/>
      <c r="V924" s="35"/>
      <c r="W924" s="38" t="str">
        <f t="shared" si="14"/>
        <v/>
      </c>
    </row>
    <row r="925" spans="1:23" x14ac:dyDescent="0.35">
      <c r="A925" s="46"/>
      <c r="B925" s="36"/>
      <c r="C925" s="35"/>
      <c r="D925" s="24"/>
      <c r="E925" s="35"/>
      <c r="F925" s="35"/>
      <c r="G925" s="36"/>
      <c r="H925" s="36"/>
      <c r="I925" s="36"/>
      <c r="J925" s="36"/>
      <c r="K925" s="36"/>
      <c r="L925" s="36"/>
      <c r="M925" s="36"/>
      <c r="N925" s="35"/>
      <c r="O925" s="35"/>
      <c r="P925" s="35"/>
      <c r="Q925" s="36"/>
      <c r="R925" s="36"/>
      <c r="S925" s="36"/>
      <c r="T925" s="46"/>
      <c r="U925" s="36"/>
      <c r="V925" s="35"/>
      <c r="W925" s="38" t="str">
        <f t="shared" si="14"/>
        <v/>
      </c>
    </row>
    <row r="926" spans="1:23" x14ac:dyDescent="0.35">
      <c r="A926" s="46"/>
      <c r="B926" s="36"/>
      <c r="C926" s="35"/>
      <c r="D926" s="24"/>
      <c r="E926" s="35"/>
      <c r="F926" s="35"/>
      <c r="G926" s="36"/>
      <c r="H926" s="36"/>
      <c r="I926" s="36"/>
      <c r="J926" s="36"/>
      <c r="K926" s="36"/>
      <c r="L926" s="36"/>
      <c r="M926" s="36"/>
      <c r="N926" s="35"/>
      <c r="O926" s="35"/>
      <c r="P926" s="35"/>
      <c r="Q926" s="36"/>
      <c r="R926" s="36"/>
      <c r="S926" s="36"/>
      <c r="T926" s="46"/>
      <c r="U926" s="36"/>
      <c r="V926" s="35"/>
      <c r="W926" s="38" t="str">
        <f t="shared" si="14"/>
        <v/>
      </c>
    </row>
    <row r="927" spans="1:23" x14ac:dyDescent="0.35">
      <c r="A927" s="46"/>
      <c r="B927" s="36"/>
      <c r="C927" s="35"/>
      <c r="D927" s="24"/>
      <c r="E927" s="35"/>
      <c r="F927" s="35"/>
      <c r="G927" s="36"/>
      <c r="H927" s="36"/>
      <c r="I927" s="36"/>
      <c r="J927" s="36"/>
      <c r="K927" s="36"/>
      <c r="L927" s="36"/>
      <c r="M927" s="36"/>
      <c r="N927" s="35"/>
      <c r="O927" s="35"/>
      <c r="P927" s="35"/>
      <c r="Q927" s="36"/>
      <c r="R927" s="36"/>
      <c r="S927" s="36"/>
      <c r="T927" s="46"/>
      <c r="U927" s="36"/>
      <c r="V927" s="35"/>
      <c r="W927" s="38" t="str">
        <f t="shared" si="14"/>
        <v/>
      </c>
    </row>
    <row r="928" spans="1:23" x14ac:dyDescent="0.35">
      <c r="A928" s="46"/>
      <c r="B928" s="36"/>
      <c r="C928" s="35"/>
      <c r="D928" s="24"/>
      <c r="E928" s="35"/>
      <c r="F928" s="35"/>
      <c r="G928" s="36"/>
      <c r="H928" s="36"/>
      <c r="I928" s="36"/>
      <c r="J928" s="36"/>
      <c r="K928" s="36"/>
      <c r="L928" s="36"/>
      <c r="M928" s="36"/>
      <c r="N928" s="35"/>
      <c r="O928" s="35"/>
      <c r="P928" s="35"/>
      <c r="Q928" s="36"/>
      <c r="R928" s="36"/>
      <c r="S928" s="36"/>
      <c r="T928" s="46"/>
      <c r="U928" s="36"/>
      <c r="V928" s="35"/>
      <c r="W928" s="38" t="str">
        <f t="shared" si="14"/>
        <v/>
      </c>
    </row>
    <row r="929" spans="1:23" x14ac:dyDescent="0.35">
      <c r="A929" s="46"/>
      <c r="B929" s="36"/>
      <c r="C929" s="35"/>
      <c r="D929" s="24"/>
      <c r="E929" s="35"/>
      <c r="F929" s="35"/>
      <c r="G929" s="36"/>
      <c r="H929" s="36"/>
      <c r="I929" s="36"/>
      <c r="J929" s="36"/>
      <c r="K929" s="36"/>
      <c r="L929" s="36"/>
      <c r="M929" s="36"/>
      <c r="N929" s="35"/>
      <c r="O929" s="35"/>
      <c r="P929" s="35"/>
      <c r="Q929" s="36"/>
      <c r="R929" s="36"/>
      <c r="S929" s="36"/>
      <c r="T929" s="46"/>
      <c r="U929" s="36"/>
      <c r="V929" s="35"/>
      <c r="W929" s="38" t="str">
        <f t="shared" si="14"/>
        <v/>
      </c>
    </row>
    <row r="930" spans="1:23" x14ac:dyDescent="0.35">
      <c r="A930" s="46"/>
      <c r="B930" s="36"/>
      <c r="C930" s="35"/>
      <c r="D930" s="24"/>
      <c r="E930" s="35"/>
      <c r="F930" s="35"/>
      <c r="G930" s="36"/>
      <c r="H930" s="36"/>
      <c r="I930" s="36"/>
      <c r="J930" s="36"/>
      <c r="K930" s="36"/>
      <c r="L930" s="36"/>
      <c r="M930" s="36"/>
      <c r="N930" s="35"/>
      <c r="O930" s="35"/>
      <c r="P930" s="35"/>
      <c r="Q930" s="36"/>
      <c r="R930" s="36"/>
      <c r="S930" s="36"/>
      <c r="T930" s="46"/>
      <c r="U930" s="36"/>
      <c r="V930" s="35"/>
      <c r="W930" s="38" t="str">
        <f t="shared" si="14"/>
        <v/>
      </c>
    </row>
    <row r="931" spans="1:23" x14ac:dyDescent="0.35">
      <c r="A931" s="46"/>
      <c r="B931" s="36"/>
      <c r="C931" s="35"/>
      <c r="D931" s="24"/>
      <c r="E931" s="35"/>
      <c r="F931" s="35"/>
      <c r="G931" s="36"/>
      <c r="H931" s="36"/>
      <c r="I931" s="36"/>
      <c r="J931" s="36"/>
      <c r="K931" s="36"/>
      <c r="L931" s="36"/>
      <c r="M931" s="36"/>
      <c r="N931" s="35"/>
      <c r="O931" s="35"/>
      <c r="P931" s="35"/>
      <c r="Q931" s="36"/>
      <c r="R931" s="36"/>
      <c r="S931" s="36"/>
      <c r="T931" s="46"/>
      <c r="U931" s="36"/>
      <c r="V931" s="35"/>
      <c r="W931" s="38" t="str">
        <f t="shared" si="14"/>
        <v/>
      </c>
    </row>
    <row r="932" spans="1:23" x14ac:dyDescent="0.35">
      <c r="A932" s="46"/>
      <c r="B932" s="36"/>
      <c r="C932" s="35"/>
      <c r="D932" s="24"/>
      <c r="E932" s="35"/>
      <c r="F932" s="35"/>
      <c r="G932" s="36"/>
      <c r="H932" s="36"/>
      <c r="I932" s="36"/>
      <c r="J932" s="36"/>
      <c r="K932" s="36"/>
      <c r="L932" s="36"/>
      <c r="M932" s="36"/>
      <c r="N932" s="35"/>
      <c r="O932" s="35"/>
      <c r="P932" s="35"/>
      <c r="Q932" s="36"/>
      <c r="R932" s="36"/>
      <c r="S932" s="36"/>
      <c r="T932" s="46"/>
      <c r="U932" s="36"/>
      <c r="V932" s="35"/>
      <c r="W932" s="38" t="str">
        <f t="shared" si="14"/>
        <v/>
      </c>
    </row>
    <row r="933" spans="1:23" x14ac:dyDescent="0.35">
      <c r="A933" s="46"/>
      <c r="B933" s="36"/>
      <c r="C933" s="35"/>
      <c r="D933" s="24"/>
      <c r="E933" s="35"/>
      <c r="F933" s="35"/>
      <c r="G933" s="36"/>
      <c r="H933" s="36"/>
      <c r="I933" s="36"/>
      <c r="J933" s="36"/>
      <c r="K933" s="36"/>
      <c r="L933" s="36"/>
      <c r="M933" s="36"/>
      <c r="N933" s="35"/>
      <c r="O933" s="35"/>
      <c r="P933" s="35"/>
      <c r="Q933" s="36"/>
      <c r="R933" s="36"/>
      <c r="S933" s="36"/>
      <c r="T933" s="46"/>
      <c r="U933" s="36"/>
      <c r="V933" s="35"/>
      <c r="W933" s="38" t="str">
        <f t="shared" si="14"/>
        <v/>
      </c>
    </row>
    <row r="934" spans="1:23" x14ac:dyDescent="0.35">
      <c r="A934" s="46"/>
      <c r="B934" s="36"/>
      <c r="C934" s="35"/>
      <c r="D934" s="24"/>
      <c r="E934" s="35"/>
      <c r="F934" s="35"/>
      <c r="G934" s="36"/>
      <c r="H934" s="36"/>
      <c r="I934" s="36"/>
      <c r="J934" s="36"/>
      <c r="K934" s="36"/>
      <c r="L934" s="36"/>
      <c r="M934" s="36"/>
      <c r="N934" s="35"/>
      <c r="O934" s="35"/>
      <c r="P934" s="35"/>
      <c r="Q934" s="36"/>
      <c r="R934" s="36"/>
      <c r="S934" s="36"/>
      <c r="T934" s="46"/>
      <c r="U934" s="36"/>
      <c r="V934" s="35"/>
      <c r="W934" s="38" t="str">
        <f t="shared" si="14"/>
        <v/>
      </c>
    </row>
    <row r="935" spans="1:23" x14ac:dyDescent="0.35">
      <c r="A935" s="46"/>
      <c r="B935" s="36"/>
      <c r="C935" s="35"/>
      <c r="D935" s="24"/>
      <c r="E935" s="35"/>
      <c r="F935" s="35"/>
      <c r="G935" s="36"/>
      <c r="H935" s="36"/>
      <c r="I935" s="36"/>
      <c r="J935" s="36"/>
      <c r="K935" s="36"/>
      <c r="L935" s="36"/>
      <c r="M935" s="36"/>
      <c r="N935" s="35"/>
      <c r="O935" s="35"/>
      <c r="P935" s="35"/>
      <c r="Q935" s="36"/>
      <c r="R935" s="36"/>
      <c r="S935" s="36"/>
      <c r="T935" s="46"/>
      <c r="U935" s="36"/>
      <c r="V935" s="35"/>
      <c r="W935" s="38" t="str">
        <f t="shared" si="14"/>
        <v/>
      </c>
    </row>
    <row r="936" spans="1:23" x14ac:dyDescent="0.35">
      <c r="A936" s="46"/>
      <c r="B936" s="36"/>
      <c r="C936" s="35"/>
      <c r="D936" s="24"/>
      <c r="E936" s="35"/>
      <c r="F936" s="35"/>
      <c r="G936" s="36"/>
      <c r="H936" s="36"/>
      <c r="I936" s="36"/>
      <c r="J936" s="36"/>
      <c r="K936" s="36"/>
      <c r="L936" s="36"/>
      <c r="M936" s="36"/>
      <c r="N936" s="35"/>
      <c r="O936" s="35"/>
      <c r="P936" s="35"/>
      <c r="Q936" s="36"/>
      <c r="R936" s="36"/>
      <c r="S936" s="36"/>
      <c r="T936" s="46"/>
      <c r="U936" s="36"/>
      <c r="V936" s="35"/>
      <c r="W936" s="38" t="str">
        <f t="shared" si="14"/>
        <v/>
      </c>
    </row>
    <row r="937" spans="1:23" x14ac:dyDescent="0.35">
      <c r="A937" s="46"/>
      <c r="B937" s="36"/>
      <c r="C937" s="35"/>
      <c r="D937" s="24"/>
      <c r="E937" s="35"/>
      <c r="F937" s="35"/>
      <c r="G937" s="36"/>
      <c r="H937" s="36"/>
      <c r="I937" s="36"/>
      <c r="J937" s="36"/>
      <c r="K937" s="36"/>
      <c r="L937" s="36"/>
      <c r="M937" s="36"/>
      <c r="N937" s="35"/>
      <c r="O937" s="35"/>
      <c r="P937" s="35"/>
      <c r="Q937" s="36"/>
      <c r="R937" s="36"/>
      <c r="S937" s="36"/>
      <c r="T937" s="46"/>
      <c r="U937" s="36"/>
      <c r="V937" s="35"/>
      <c r="W937" s="38" t="str">
        <f t="shared" si="14"/>
        <v/>
      </c>
    </row>
    <row r="938" spans="1:23" x14ac:dyDescent="0.35">
      <c r="A938" s="46"/>
      <c r="B938" s="36"/>
      <c r="C938" s="35"/>
      <c r="D938" s="24"/>
      <c r="E938" s="35"/>
      <c r="F938" s="35"/>
      <c r="G938" s="36"/>
      <c r="H938" s="36"/>
      <c r="I938" s="36"/>
      <c r="J938" s="36"/>
      <c r="K938" s="36"/>
      <c r="L938" s="36"/>
      <c r="M938" s="36"/>
      <c r="N938" s="35"/>
      <c r="O938" s="35"/>
      <c r="P938" s="35"/>
      <c r="Q938" s="36"/>
      <c r="R938" s="36"/>
      <c r="S938" s="36"/>
      <c r="T938" s="46"/>
      <c r="U938" s="36"/>
      <c r="V938" s="35"/>
      <c r="W938" s="38" t="str">
        <f t="shared" si="14"/>
        <v/>
      </c>
    </row>
    <row r="939" spans="1:23" x14ac:dyDescent="0.35">
      <c r="A939" s="46"/>
      <c r="B939" s="36"/>
      <c r="C939" s="35"/>
      <c r="D939" s="24"/>
      <c r="E939" s="35"/>
      <c r="F939" s="35"/>
      <c r="G939" s="36"/>
      <c r="H939" s="36"/>
      <c r="I939" s="36"/>
      <c r="J939" s="36"/>
      <c r="K939" s="36"/>
      <c r="L939" s="36"/>
      <c r="M939" s="36"/>
      <c r="N939" s="35"/>
      <c r="O939" s="35"/>
      <c r="P939" s="35"/>
      <c r="Q939" s="36"/>
      <c r="R939" s="36"/>
      <c r="S939" s="36"/>
      <c r="T939" s="46"/>
      <c r="U939" s="36"/>
      <c r="V939" s="35"/>
      <c r="W939" s="38" t="str">
        <f t="shared" si="14"/>
        <v/>
      </c>
    </row>
    <row r="940" spans="1:23" x14ac:dyDescent="0.35">
      <c r="A940" s="46"/>
      <c r="B940" s="36"/>
      <c r="C940" s="35"/>
      <c r="D940" s="24"/>
      <c r="E940" s="35"/>
      <c r="F940" s="35"/>
      <c r="G940" s="36"/>
      <c r="H940" s="36"/>
      <c r="I940" s="36"/>
      <c r="J940" s="36"/>
      <c r="K940" s="36"/>
      <c r="L940" s="36"/>
      <c r="M940" s="36"/>
      <c r="N940" s="35"/>
      <c r="O940" s="35"/>
      <c r="P940" s="35"/>
      <c r="Q940" s="36"/>
      <c r="R940" s="36"/>
      <c r="S940" s="36"/>
      <c r="T940" s="46"/>
      <c r="U940" s="36"/>
      <c r="V940" s="35"/>
      <c r="W940" s="38" t="str">
        <f t="shared" si="14"/>
        <v/>
      </c>
    </row>
    <row r="941" spans="1:23" x14ac:dyDescent="0.35">
      <c r="A941" s="46"/>
      <c r="B941" s="36"/>
      <c r="C941" s="35"/>
      <c r="D941" s="24"/>
      <c r="E941" s="35"/>
      <c r="F941" s="35"/>
      <c r="G941" s="36"/>
      <c r="H941" s="36"/>
      <c r="I941" s="36"/>
      <c r="J941" s="36"/>
      <c r="K941" s="36"/>
      <c r="L941" s="36"/>
      <c r="M941" s="36"/>
      <c r="N941" s="35"/>
      <c r="O941" s="35"/>
      <c r="P941" s="35"/>
      <c r="Q941" s="36"/>
      <c r="R941" s="36"/>
      <c r="S941" s="36"/>
      <c r="T941" s="46"/>
      <c r="U941" s="36"/>
      <c r="V941" s="35"/>
      <c r="W941" s="38" t="str">
        <f t="shared" si="14"/>
        <v/>
      </c>
    </row>
    <row r="942" spans="1:23" x14ac:dyDescent="0.35">
      <c r="A942" s="46"/>
      <c r="B942" s="36"/>
      <c r="C942" s="35"/>
      <c r="D942" s="24"/>
      <c r="E942" s="35"/>
      <c r="F942" s="35"/>
      <c r="G942" s="36"/>
      <c r="H942" s="36"/>
      <c r="I942" s="36"/>
      <c r="J942" s="36"/>
      <c r="K942" s="36"/>
      <c r="L942" s="36"/>
      <c r="M942" s="36"/>
      <c r="N942" s="35"/>
      <c r="O942" s="35"/>
      <c r="P942" s="35"/>
      <c r="Q942" s="36"/>
      <c r="R942" s="36"/>
      <c r="S942" s="36"/>
      <c r="T942" s="46"/>
      <c r="U942" s="36"/>
      <c r="V942" s="35"/>
      <c r="W942" s="38" t="str">
        <f t="shared" si="14"/>
        <v/>
      </c>
    </row>
    <row r="943" spans="1:23" x14ac:dyDescent="0.35">
      <c r="A943" s="46"/>
      <c r="B943" s="36"/>
      <c r="C943" s="35"/>
      <c r="D943" s="24"/>
      <c r="E943" s="35"/>
      <c r="F943" s="35"/>
      <c r="G943" s="36"/>
      <c r="H943" s="36"/>
      <c r="I943" s="36"/>
      <c r="J943" s="36"/>
      <c r="K943" s="36"/>
      <c r="L943" s="36"/>
      <c r="M943" s="36"/>
      <c r="N943" s="35"/>
      <c r="O943" s="35"/>
      <c r="P943" s="35"/>
      <c r="Q943" s="36"/>
      <c r="R943" s="36"/>
      <c r="S943" s="36"/>
      <c r="T943" s="46"/>
      <c r="U943" s="36"/>
      <c r="V943" s="35"/>
      <c r="W943" s="38" t="str">
        <f t="shared" si="14"/>
        <v/>
      </c>
    </row>
    <row r="944" spans="1:23" x14ac:dyDescent="0.35">
      <c r="A944" s="46"/>
      <c r="B944" s="36"/>
      <c r="C944" s="35"/>
      <c r="D944" s="24"/>
      <c r="E944" s="35"/>
      <c r="F944" s="35"/>
      <c r="G944" s="36"/>
      <c r="H944" s="36"/>
      <c r="I944" s="36"/>
      <c r="J944" s="36"/>
      <c r="K944" s="36"/>
      <c r="L944" s="36"/>
      <c r="M944" s="36"/>
      <c r="N944" s="35"/>
      <c r="O944" s="35"/>
      <c r="P944" s="35"/>
      <c r="Q944" s="36"/>
      <c r="R944" s="36"/>
      <c r="S944" s="36"/>
      <c r="T944" s="46"/>
      <c r="U944" s="36"/>
      <c r="V944" s="35"/>
      <c r="W944" s="38" t="str">
        <f t="shared" si="14"/>
        <v/>
      </c>
    </row>
    <row r="945" spans="1:23" x14ac:dyDescent="0.35">
      <c r="A945" s="46"/>
      <c r="B945" s="36"/>
      <c r="C945" s="35"/>
      <c r="D945" s="24"/>
      <c r="E945" s="35"/>
      <c r="F945" s="35"/>
      <c r="G945" s="36"/>
      <c r="H945" s="36"/>
      <c r="I945" s="36"/>
      <c r="J945" s="36"/>
      <c r="K945" s="36"/>
      <c r="L945" s="36"/>
      <c r="M945" s="36"/>
      <c r="N945" s="35"/>
      <c r="O945" s="35"/>
      <c r="P945" s="35"/>
      <c r="Q945" s="36"/>
      <c r="R945" s="36"/>
      <c r="S945" s="36"/>
      <c r="T945" s="46"/>
      <c r="U945" s="36"/>
      <c r="V945" s="35"/>
      <c r="W945" s="38" t="str">
        <f t="shared" si="14"/>
        <v/>
      </c>
    </row>
    <row r="946" spans="1:23" x14ac:dyDescent="0.35">
      <c r="A946" s="46"/>
      <c r="B946" s="36"/>
      <c r="C946" s="35"/>
      <c r="D946" s="24"/>
      <c r="E946" s="35"/>
      <c r="F946" s="35"/>
      <c r="G946" s="36"/>
      <c r="H946" s="36"/>
      <c r="I946" s="36"/>
      <c r="J946" s="36"/>
      <c r="K946" s="36"/>
      <c r="L946" s="36"/>
      <c r="M946" s="36"/>
      <c r="N946" s="35"/>
      <c r="O946" s="35"/>
      <c r="P946" s="35"/>
      <c r="Q946" s="36"/>
      <c r="R946" s="36"/>
      <c r="S946" s="36"/>
      <c r="T946" s="46"/>
      <c r="U946" s="36"/>
      <c r="V946" s="35"/>
      <c r="W946" s="38" t="str">
        <f t="shared" si="14"/>
        <v/>
      </c>
    </row>
    <row r="947" spans="1:23" x14ac:dyDescent="0.35">
      <c r="A947" s="46"/>
      <c r="B947" s="36"/>
      <c r="C947" s="35"/>
      <c r="D947" s="24"/>
      <c r="E947" s="35"/>
      <c r="F947" s="35"/>
      <c r="G947" s="36"/>
      <c r="H947" s="36"/>
      <c r="I947" s="36"/>
      <c r="J947" s="36"/>
      <c r="K947" s="36"/>
      <c r="L947" s="36"/>
      <c r="M947" s="36"/>
      <c r="N947" s="35"/>
      <c r="O947" s="35"/>
      <c r="P947" s="35"/>
      <c r="Q947" s="36"/>
      <c r="R947" s="36"/>
      <c r="S947" s="36"/>
      <c r="T947" s="46"/>
      <c r="U947" s="36"/>
      <c r="V947" s="35"/>
      <c r="W947" s="38" t="str">
        <f t="shared" si="14"/>
        <v/>
      </c>
    </row>
    <row r="948" spans="1:23" x14ac:dyDescent="0.35">
      <c r="A948" s="46"/>
      <c r="B948" s="36"/>
      <c r="C948" s="35"/>
      <c r="D948" s="24"/>
      <c r="E948" s="35"/>
      <c r="F948" s="35"/>
      <c r="G948" s="36"/>
      <c r="H948" s="36"/>
      <c r="I948" s="36"/>
      <c r="J948" s="36"/>
      <c r="K948" s="36"/>
      <c r="L948" s="36"/>
      <c r="M948" s="36"/>
      <c r="N948" s="35"/>
      <c r="O948" s="35"/>
      <c r="P948" s="35"/>
      <c r="Q948" s="36"/>
      <c r="R948" s="36"/>
      <c r="S948" s="36"/>
      <c r="T948" s="46"/>
      <c r="U948" s="36"/>
      <c r="V948" s="35"/>
      <c r="W948" s="38" t="str">
        <f t="shared" si="14"/>
        <v/>
      </c>
    </row>
    <row r="949" spans="1:23" x14ac:dyDescent="0.35">
      <c r="A949" s="46"/>
      <c r="B949" s="36"/>
      <c r="C949" s="35"/>
      <c r="D949" s="24"/>
      <c r="E949" s="35"/>
      <c r="F949" s="35"/>
      <c r="G949" s="36"/>
      <c r="H949" s="36"/>
      <c r="I949" s="36"/>
      <c r="J949" s="36"/>
      <c r="K949" s="36"/>
      <c r="L949" s="36"/>
      <c r="M949" s="36"/>
      <c r="N949" s="35"/>
      <c r="O949" s="35"/>
      <c r="P949" s="35"/>
      <c r="Q949" s="36"/>
      <c r="R949" s="36"/>
      <c r="S949" s="36"/>
      <c r="T949" s="46"/>
      <c r="U949" s="36"/>
      <c r="V949" s="35"/>
      <c r="W949" s="38" t="str">
        <f t="shared" si="14"/>
        <v/>
      </c>
    </row>
    <row r="950" spans="1:23" x14ac:dyDescent="0.35">
      <c r="A950" s="46"/>
      <c r="B950" s="36"/>
      <c r="C950" s="35"/>
      <c r="D950" s="24"/>
      <c r="E950" s="35"/>
      <c r="F950" s="35"/>
      <c r="G950" s="36"/>
      <c r="H950" s="36"/>
      <c r="I950" s="36"/>
      <c r="J950" s="36"/>
      <c r="K950" s="36"/>
      <c r="L950" s="36"/>
      <c r="M950" s="36"/>
      <c r="N950" s="35"/>
      <c r="O950" s="35"/>
      <c r="P950" s="35"/>
      <c r="Q950" s="36"/>
      <c r="R950" s="36"/>
      <c r="S950" s="36"/>
      <c r="T950" s="46"/>
      <c r="U950" s="36"/>
      <c r="V950" s="35"/>
      <c r="W950" s="38" t="str">
        <f t="shared" si="14"/>
        <v/>
      </c>
    </row>
    <row r="951" spans="1:23" x14ac:dyDescent="0.35">
      <c r="A951" s="46"/>
      <c r="B951" s="36"/>
      <c r="C951" s="35"/>
      <c r="D951" s="24"/>
      <c r="E951" s="35"/>
      <c r="F951" s="35"/>
      <c r="G951" s="36"/>
      <c r="H951" s="36"/>
      <c r="I951" s="36"/>
      <c r="J951" s="36"/>
      <c r="K951" s="36"/>
      <c r="L951" s="36"/>
      <c r="M951" s="36"/>
      <c r="N951" s="35"/>
      <c r="O951" s="35"/>
      <c r="P951" s="35"/>
      <c r="Q951" s="36"/>
      <c r="R951" s="36"/>
      <c r="S951" s="36"/>
      <c r="T951" s="46"/>
      <c r="U951" s="36"/>
      <c r="V951" s="35"/>
      <c r="W951" s="38" t="str">
        <f t="shared" si="14"/>
        <v/>
      </c>
    </row>
    <row r="952" spans="1:23" x14ac:dyDescent="0.35">
      <c r="A952" s="46"/>
      <c r="B952" s="36"/>
      <c r="C952" s="35"/>
      <c r="D952" s="24"/>
      <c r="E952" s="35"/>
      <c r="F952" s="35"/>
      <c r="G952" s="36"/>
      <c r="H952" s="36"/>
      <c r="I952" s="36"/>
      <c r="J952" s="36"/>
      <c r="K952" s="36"/>
      <c r="L952" s="36"/>
      <c r="M952" s="36"/>
      <c r="N952" s="35"/>
      <c r="O952" s="35"/>
      <c r="P952" s="35"/>
      <c r="Q952" s="36"/>
      <c r="R952" s="36"/>
      <c r="S952" s="36"/>
      <c r="T952" s="46"/>
      <c r="U952" s="36"/>
      <c r="V952" s="35"/>
      <c r="W952" s="38" t="str">
        <f t="shared" si="14"/>
        <v/>
      </c>
    </row>
    <row r="953" spans="1:23" x14ac:dyDescent="0.35">
      <c r="A953" s="46"/>
      <c r="B953" s="36"/>
      <c r="C953" s="35"/>
      <c r="D953" s="24"/>
      <c r="E953" s="35"/>
      <c r="F953" s="35"/>
      <c r="G953" s="36"/>
      <c r="H953" s="36"/>
      <c r="I953" s="36"/>
      <c r="J953" s="36"/>
      <c r="K953" s="36"/>
      <c r="L953" s="36"/>
      <c r="M953" s="36"/>
      <c r="N953" s="35"/>
      <c r="O953" s="35"/>
      <c r="P953" s="35"/>
      <c r="Q953" s="36"/>
      <c r="R953" s="36"/>
      <c r="S953" s="36"/>
      <c r="T953" s="46"/>
      <c r="U953" s="36"/>
      <c r="V953" s="35"/>
      <c r="W953" s="38" t="str">
        <f t="shared" si="14"/>
        <v/>
      </c>
    </row>
    <row r="954" spans="1:23" x14ac:dyDescent="0.35">
      <c r="A954" s="46"/>
      <c r="B954" s="36"/>
      <c r="C954" s="35"/>
      <c r="D954" s="24"/>
      <c r="E954" s="35"/>
      <c r="F954" s="35"/>
      <c r="G954" s="36"/>
      <c r="H954" s="36"/>
      <c r="I954" s="36"/>
      <c r="J954" s="36"/>
      <c r="K954" s="36"/>
      <c r="L954" s="36"/>
      <c r="M954" s="36"/>
      <c r="N954" s="35"/>
      <c r="O954" s="35"/>
      <c r="P954" s="35"/>
      <c r="Q954" s="36"/>
      <c r="R954" s="36"/>
      <c r="S954" s="36"/>
      <c r="T954" s="46"/>
      <c r="U954" s="36"/>
      <c r="V954" s="35"/>
      <c r="W954" s="38" t="str">
        <f t="shared" si="14"/>
        <v/>
      </c>
    </row>
    <row r="955" spans="1:23" x14ac:dyDescent="0.35">
      <c r="A955" s="46"/>
      <c r="B955" s="36"/>
      <c r="C955" s="35"/>
      <c r="D955" s="24"/>
      <c r="E955" s="35"/>
      <c r="F955" s="35"/>
      <c r="G955" s="36"/>
      <c r="H955" s="36"/>
      <c r="I955" s="36"/>
      <c r="J955" s="36"/>
      <c r="K955" s="36"/>
      <c r="L955" s="36"/>
      <c r="M955" s="36"/>
      <c r="N955" s="35"/>
      <c r="O955" s="35"/>
      <c r="P955" s="35"/>
      <c r="Q955" s="36"/>
      <c r="R955" s="36"/>
      <c r="S955" s="36"/>
      <c r="T955" s="46"/>
      <c r="U955" s="36"/>
      <c r="V955" s="35"/>
      <c r="W955" s="38" t="str">
        <f t="shared" si="14"/>
        <v/>
      </c>
    </row>
    <row r="956" spans="1:23" x14ac:dyDescent="0.35">
      <c r="A956" s="46"/>
      <c r="B956" s="36"/>
      <c r="C956" s="35"/>
      <c r="D956" s="24"/>
      <c r="E956" s="35"/>
      <c r="F956" s="35"/>
      <c r="G956" s="36"/>
      <c r="H956" s="36"/>
      <c r="I956" s="36"/>
      <c r="J956" s="36"/>
      <c r="K956" s="36"/>
      <c r="L956" s="36"/>
      <c r="M956" s="36"/>
      <c r="N956" s="35"/>
      <c r="O956" s="35"/>
      <c r="P956" s="35"/>
      <c r="Q956" s="36"/>
      <c r="R956" s="36"/>
      <c r="S956" s="36"/>
      <c r="T956" s="46"/>
      <c r="U956" s="36"/>
      <c r="V956" s="35"/>
      <c r="W956" s="38" t="str">
        <f t="shared" si="14"/>
        <v/>
      </c>
    </row>
    <row r="957" spans="1:23" x14ac:dyDescent="0.35">
      <c r="A957" s="46"/>
      <c r="B957" s="36"/>
      <c r="C957" s="35"/>
      <c r="D957" s="24"/>
      <c r="E957" s="35"/>
      <c r="F957" s="35"/>
      <c r="G957" s="36"/>
      <c r="H957" s="36"/>
      <c r="I957" s="36"/>
      <c r="J957" s="36"/>
      <c r="K957" s="36"/>
      <c r="L957" s="36"/>
      <c r="M957" s="36"/>
      <c r="N957" s="35"/>
      <c r="O957" s="35"/>
      <c r="P957" s="35"/>
      <c r="Q957" s="36"/>
      <c r="R957" s="36"/>
      <c r="S957" s="36"/>
      <c r="T957" s="46"/>
      <c r="U957" s="36"/>
      <c r="V957" s="35"/>
      <c r="W957" s="38" t="str">
        <f t="shared" si="14"/>
        <v/>
      </c>
    </row>
    <row r="958" spans="1:23" x14ac:dyDescent="0.35">
      <c r="A958" s="46"/>
      <c r="B958" s="36"/>
      <c r="C958" s="35"/>
      <c r="D958" s="24"/>
      <c r="E958" s="35"/>
      <c r="F958" s="35"/>
      <c r="G958" s="36"/>
      <c r="H958" s="36"/>
      <c r="I958" s="36"/>
      <c r="J958" s="36"/>
      <c r="K958" s="36"/>
      <c r="L958" s="36"/>
      <c r="M958" s="36"/>
      <c r="N958" s="35"/>
      <c r="O958" s="35"/>
      <c r="P958" s="35"/>
      <c r="Q958" s="36"/>
      <c r="R958" s="36"/>
      <c r="S958" s="36"/>
      <c r="T958" s="46"/>
      <c r="U958" s="36"/>
      <c r="V958" s="35"/>
      <c r="W958" s="38" t="str">
        <f t="shared" si="14"/>
        <v/>
      </c>
    </row>
    <row r="959" spans="1:23" x14ac:dyDescent="0.35">
      <c r="A959" s="46"/>
      <c r="B959" s="36"/>
      <c r="C959" s="35"/>
      <c r="D959" s="24"/>
      <c r="E959" s="35"/>
      <c r="F959" s="35"/>
      <c r="G959" s="36"/>
      <c r="H959" s="36"/>
      <c r="I959" s="36"/>
      <c r="J959" s="36"/>
      <c r="K959" s="36"/>
      <c r="L959" s="36"/>
      <c r="M959" s="36"/>
      <c r="N959" s="35"/>
      <c r="O959" s="35"/>
      <c r="P959" s="35"/>
      <c r="Q959" s="36"/>
      <c r="R959" s="36"/>
      <c r="S959" s="36"/>
      <c r="T959" s="46"/>
      <c r="U959" s="36"/>
      <c r="V959" s="35"/>
      <c r="W959" s="38" t="str">
        <f t="shared" si="14"/>
        <v/>
      </c>
    </row>
    <row r="960" spans="1:23" x14ac:dyDescent="0.35">
      <c r="A960" s="46"/>
      <c r="B960" s="36"/>
      <c r="C960" s="35"/>
      <c r="D960" s="24"/>
      <c r="E960" s="35"/>
      <c r="F960" s="35"/>
      <c r="G960" s="36"/>
      <c r="H960" s="36"/>
      <c r="I960" s="36"/>
      <c r="J960" s="36"/>
      <c r="K960" s="36"/>
      <c r="L960" s="36"/>
      <c r="M960" s="36"/>
      <c r="N960" s="35"/>
      <c r="O960" s="35"/>
      <c r="P960" s="35"/>
      <c r="Q960" s="36"/>
      <c r="R960" s="36"/>
      <c r="S960" s="36"/>
      <c r="T960" s="46"/>
      <c r="U960" s="36"/>
      <c r="V960" s="35"/>
      <c r="W960" s="38" t="str">
        <f t="shared" si="14"/>
        <v/>
      </c>
    </row>
    <row r="961" spans="1:23" x14ac:dyDescent="0.35">
      <c r="A961" s="46"/>
      <c r="B961" s="36"/>
      <c r="C961" s="35"/>
      <c r="D961" s="24"/>
      <c r="E961" s="35"/>
      <c r="F961" s="35"/>
      <c r="G961" s="36"/>
      <c r="H961" s="36"/>
      <c r="I961" s="36"/>
      <c r="J961" s="36"/>
      <c r="K961" s="36"/>
      <c r="L961" s="36"/>
      <c r="M961" s="36"/>
      <c r="N961" s="35"/>
      <c r="O961" s="35"/>
      <c r="P961" s="35"/>
      <c r="Q961" s="36"/>
      <c r="R961" s="36"/>
      <c r="S961" s="36"/>
      <c r="T961" s="46"/>
      <c r="U961" s="36"/>
      <c r="V961" s="35"/>
      <c r="W961" s="38" t="str">
        <f t="shared" si="14"/>
        <v/>
      </c>
    </row>
    <row r="962" spans="1:23" x14ac:dyDescent="0.35">
      <c r="A962" s="46"/>
      <c r="B962" s="36"/>
      <c r="C962" s="35"/>
      <c r="D962" s="24"/>
      <c r="E962" s="35"/>
      <c r="F962" s="35"/>
      <c r="G962" s="36"/>
      <c r="H962" s="36"/>
      <c r="I962" s="36"/>
      <c r="J962" s="36"/>
      <c r="K962" s="36"/>
      <c r="L962" s="36"/>
      <c r="M962" s="36"/>
      <c r="N962" s="35"/>
      <c r="O962" s="35"/>
      <c r="P962" s="35"/>
      <c r="Q962" s="36"/>
      <c r="R962" s="36"/>
      <c r="S962" s="36"/>
      <c r="T962" s="46"/>
      <c r="U962" s="36"/>
      <c r="V962" s="35"/>
      <c r="W962" s="38" t="str">
        <f t="shared" si="14"/>
        <v/>
      </c>
    </row>
    <row r="963" spans="1:23" x14ac:dyDescent="0.35">
      <c r="A963" s="46"/>
      <c r="B963" s="36"/>
      <c r="C963" s="35"/>
      <c r="D963" s="24"/>
      <c r="E963" s="35"/>
      <c r="F963" s="35"/>
      <c r="G963" s="36"/>
      <c r="H963" s="36"/>
      <c r="I963" s="36"/>
      <c r="J963" s="36"/>
      <c r="K963" s="36"/>
      <c r="L963" s="36"/>
      <c r="M963" s="36"/>
      <c r="N963" s="35"/>
      <c r="O963" s="35"/>
      <c r="P963" s="35"/>
      <c r="Q963" s="36"/>
      <c r="R963" s="36"/>
      <c r="S963" s="36"/>
      <c r="T963" s="46"/>
      <c r="U963" s="36"/>
      <c r="V963" s="35"/>
      <c r="W963" s="38" t="str">
        <f t="shared" si="14"/>
        <v/>
      </c>
    </row>
    <row r="964" spans="1:23" x14ac:dyDescent="0.35">
      <c r="A964" s="46"/>
      <c r="B964" s="36"/>
      <c r="C964" s="35"/>
      <c r="D964" s="24"/>
      <c r="E964" s="35"/>
      <c r="F964" s="35"/>
      <c r="G964" s="36"/>
      <c r="H964" s="36"/>
      <c r="I964" s="36"/>
      <c r="J964" s="36"/>
      <c r="K964" s="36"/>
      <c r="L964" s="36"/>
      <c r="M964" s="36"/>
      <c r="N964" s="35"/>
      <c r="O964" s="35"/>
      <c r="P964" s="35"/>
      <c r="Q964" s="36"/>
      <c r="R964" s="36"/>
      <c r="S964" s="36"/>
      <c r="T964" s="46"/>
      <c r="U964" s="36"/>
      <c r="V964" s="35"/>
      <c r="W964" s="38" t="str">
        <f t="shared" si="14"/>
        <v/>
      </c>
    </row>
    <row r="965" spans="1:23" x14ac:dyDescent="0.35">
      <c r="A965" s="46"/>
      <c r="B965" s="36"/>
      <c r="C965" s="35"/>
      <c r="D965" s="24"/>
      <c r="E965" s="35"/>
      <c r="F965" s="35"/>
      <c r="G965" s="36"/>
      <c r="H965" s="36"/>
      <c r="I965" s="36"/>
      <c r="J965" s="36"/>
      <c r="K965" s="36"/>
      <c r="L965" s="36"/>
      <c r="M965" s="36"/>
      <c r="N965" s="35"/>
      <c r="O965" s="35"/>
      <c r="P965" s="35"/>
      <c r="Q965" s="36"/>
      <c r="R965" s="36"/>
      <c r="S965" s="36"/>
      <c r="T965" s="46"/>
      <c r="U965" s="36"/>
      <c r="V965" s="35"/>
      <c r="W965" s="38" t="str">
        <f t="shared" si="14"/>
        <v/>
      </c>
    </row>
    <row r="966" spans="1:23" x14ac:dyDescent="0.35">
      <c r="A966" s="46"/>
      <c r="B966" s="36"/>
      <c r="C966" s="35"/>
      <c r="D966" s="24"/>
      <c r="E966" s="35"/>
      <c r="F966" s="35"/>
      <c r="G966" s="36"/>
      <c r="H966" s="36"/>
      <c r="I966" s="36"/>
      <c r="J966" s="36"/>
      <c r="K966" s="36"/>
      <c r="L966" s="36"/>
      <c r="M966" s="36"/>
      <c r="N966" s="35"/>
      <c r="O966" s="35"/>
      <c r="P966" s="35"/>
      <c r="Q966" s="36"/>
      <c r="R966" s="36"/>
      <c r="S966" s="36"/>
      <c r="T966" s="46"/>
      <c r="U966" s="36"/>
      <c r="V966" s="35"/>
      <c r="W966" s="38" t="str">
        <f t="shared" ref="W966:W1005" si="15">IF(OR(A966="",C966=""),"",INT(A966)&amp;"|"&amp;C966)</f>
        <v/>
      </c>
    </row>
    <row r="967" spans="1:23" x14ac:dyDescent="0.35">
      <c r="A967" s="46"/>
      <c r="B967" s="36"/>
      <c r="C967" s="35"/>
      <c r="D967" s="24"/>
      <c r="E967" s="35"/>
      <c r="F967" s="35"/>
      <c r="G967" s="36"/>
      <c r="H967" s="36"/>
      <c r="I967" s="36"/>
      <c r="J967" s="36"/>
      <c r="K967" s="36"/>
      <c r="L967" s="36"/>
      <c r="M967" s="36"/>
      <c r="N967" s="35"/>
      <c r="O967" s="35"/>
      <c r="P967" s="35"/>
      <c r="Q967" s="36"/>
      <c r="R967" s="36"/>
      <c r="S967" s="36"/>
      <c r="T967" s="46"/>
      <c r="U967" s="36"/>
      <c r="V967" s="35"/>
      <c r="W967" s="38" t="str">
        <f t="shared" si="15"/>
        <v/>
      </c>
    </row>
    <row r="968" spans="1:23" x14ac:dyDescent="0.35">
      <c r="A968" s="46"/>
      <c r="B968" s="36"/>
      <c r="C968" s="35"/>
      <c r="D968" s="24"/>
      <c r="E968" s="35"/>
      <c r="F968" s="35"/>
      <c r="G968" s="36"/>
      <c r="H968" s="36"/>
      <c r="I968" s="36"/>
      <c r="J968" s="36"/>
      <c r="K968" s="36"/>
      <c r="L968" s="36"/>
      <c r="M968" s="36"/>
      <c r="N968" s="35"/>
      <c r="O968" s="35"/>
      <c r="P968" s="35"/>
      <c r="Q968" s="36"/>
      <c r="R968" s="36"/>
      <c r="S968" s="36"/>
      <c r="T968" s="46"/>
      <c r="U968" s="36"/>
      <c r="V968" s="35"/>
      <c r="W968" s="38" t="str">
        <f t="shared" si="15"/>
        <v/>
      </c>
    </row>
    <row r="969" spans="1:23" x14ac:dyDescent="0.35">
      <c r="A969" s="46"/>
      <c r="B969" s="36"/>
      <c r="C969" s="35"/>
      <c r="D969" s="24"/>
      <c r="E969" s="35"/>
      <c r="F969" s="35"/>
      <c r="G969" s="36"/>
      <c r="H969" s="36"/>
      <c r="I969" s="36"/>
      <c r="J969" s="36"/>
      <c r="K969" s="36"/>
      <c r="L969" s="36"/>
      <c r="M969" s="36"/>
      <c r="N969" s="35"/>
      <c r="O969" s="35"/>
      <c r="P969" s="35"/>
      <c r="Q969" s="36"/>
      <c r="R969" s="36"/>
      <c r="S969" s="36"/>
      <c r="T969" s="46"/>
      <c r="U969" s="36"/>
      <c r="V969" s="35"/>
      <c r="W969" s="38" t="str">
        <f t="shared" si="15"/>
        <v/>
      </c>
    </row>
    <row r="970" spans="1:23" x14ac:dyDescent="0.35">
      <c r="A970" s="46"/>
      <c r="B970" s="36"/>
      <c r="C970" s="35"/>
      <c r="D970" s="24"/>
      <c r="E970" s="35"/>
      <c r="F970" s="35"/>
      <c r="G970" s="36"/>
      <c r="H970" s="36"/>
      <c r="I970" s="36"/>
      <c r="J970" s="36"/>
      <c r="K970" s="36"/>
      <c r="L970" s="36"/>
      <c r="M970" s="36"/>
      <c r="N970" s="35"/>
      <c r="O970" s="35"/>
      <c r="P970" s="35"/>
      <c r="Q970" s="36"/>
      <c r="R970" s="36"/>
      <c r="S970" s="36"/>
      <c r="T970" s="46"/>
      <c r="U970" s="36"/>
      <c r="V970" s="35"/>
      <c r="W970" s="38" t="str">
        <f t="shared" si="15"/>
        <v/>
      </c>
    </row>
    <row r="971" spans="1:23" x14ac:dyDescent="0.35">
      <c r="A971" s="46"/>
      <c r="B971" s="36"/>
      <c r="C971" s="35"/>
      <c r="D971" s="24"/>
      <c r="E971" s="35"/>
      <c r="F971" s="35"/>
      <c r="G971" s="36"/>
      <c r="H971" s="36"/>
      <c r="I971" s="36"/>
      <c r="J971" s="36"/>
      <c r="K971" s="36"/>
      <c r="L971" s="36"/>
      <c r="M971" s="36"/>
      <c r="N971" s="35"/>
      <c r="O971" s="35"/>
      <c r="P971" s="35"/>
      <c r="Q971" s="36"/>
      <c r="R971" s="36"/>
      <c r="S971" s="36"/>
      <c r="T971" s="46"/>
      <c r="U971" s="36"/>
      <c r="V971" s="35"/>
      <c r="W971" s="38" t="str">
        <f t="shared" si="15"/>
        <v/>
      </c>
    </row>
    <row r="972" spans="1:23" x14ac:dyDescent="0.35">
      <c r="A972" s="46"/>
      <c r="B972" s="36"/>
      <c r="C972" s="35"/>
      <c r="D972" s="24"/>
      <c r="E972" s="35"/>
      <c r="F972" s="35"/>
      <c r="G972" s="36"/>
      <c r="H972" s="36"/>
      <c r="I972" s="36"/>
      <c r="J972" s="36"/>
      <c r="K972" s="36"/>
      <c r="L972" s="36"/>
      <c r="M972" s="36"/>
      <c r="N972" s="35"/>
      <c r="O972" s="35"/>
      <c r="P972" s="35"/>
      <c r="Q972" s="36"/>
      <c r="R972" s="36"/>
      <c r="S972" s="36"/>
      <c r="T972" s="46"/>
      <c r="U972" s="36"/>
      <c r="V972" s="35"/>
      <c r="W972" s="38" t="str">
        <f t="shared" si="15"/>
        <v/>
      </c>
    </row>
    <row r="973" spans="1:23" x14ac:dyDescent="0.35">
      <c r="A973" s="46"/>
      <c r="B973" s="36"/>
      <c r="C973" s="35"/>
      <c r="D973" s="24"/>
      <c r="E973" s="35"/>
      <c r="F973" s="35"/>
      <c r="G973" s="36"/>
      <c r="H973" s="36"/>
      <c r="I973" s="36"/>
      <c r="J973" s="36"/>
      <c r="K973" s="36"/>
      <c r="L973" s="36"/>
      <c r="M973" s="36"/>
      <c r="N973" s="35"/>
      <c r="O973" s="35"/>
      <c r="P973" s="35"/>
      <c r="Q973" s="36"/>
      <c r="R973" s="36"/>
      <c r="S973" s="36"/>
      <c r="T973" s="46"/>
      <c r="U973" s="36"/>
      <c r="V973" s="35"/>
      <c r="W973" s="38" t="str">
        <f t="shared" si="15"/>
        <v/>
      </c>
    </row>
    <row r="974" spans="1:23" x14ac:dyDescent="0.35">
      <c r="A974" s="46"/>
      <c r="B974" s="36"/>
      <c r="C974" s="35"/>
      <c r="D974" s="24"/>
      <c r="E974" s="35"/>
      <c r="F974" s="35"/>
      <c r="G974" s="36"/>
      <c r="H974" s="36"/>
      <c r="I974" s="36"/>
      <c r="J974" s="36"/>
      <c r="K974" s="36"/>
      <c r="L974" s="36"/>
      <c r="M974" s="36"/>
      <c r="N974" s="35"/>
      <c r="O974" s="35"/>
      <c r="P974" s="35"/>
      <c r="Q974" s="36"/>
      <c r="R974" s="36"/>
      <c r="S974" s="36"/>
      <c r="T974" s="46"/>
      <c r="U974" s="36"/>
      <c r="V974" s="35"/>
      <c r="W974" s="38" t="str">
        <f t="shared" si="15"/>
        <v/>
      </c>
    </row>
    <row r="975" spans="1:23" x14ac:dyDescent="0.35">
      <c r="A975" s="46"/>
      <c r="B975" s="36"/>
      <c r="C975" s="35"/>
      <c r="D975" s="24"/>
      <c r="E975" s="35"/>
      <c r="F975" s="35"/>
      <c r="G975" s="36"/>
      <c r="H975" s="36"/>
      <c r="I975" s="36"/>
      <c r="J975" s="36"/>
      <c r="K975" s="36"/>
      <c r="L975" s="36"/>
      <c r="M975" s="36"/>
      <c r="N975" s="35"/>
      <c r="O975" s="35"/>
      <c r="P975" s="35"/>
      <c r="Q975" s="36"/>
      <c r="R975" s="36"/>
      <c r="S975" s="36"/>
      <c r="T975" s="46"/>
      <c r="U975" s="36"/>
      <c r="V975" s="35"/>
      <c r="W975" s="38" t="str">
        <f t="shared" si="15"/>
        <v/>
      </c>
    </row>
    <row r="976" spans="1:23" x14ac:dyDescent="0.35">
      <c r="A976" s="46"/>
      <c r="B976" s="36"/>
      <c r="C976" s="35"/>
      <c r="D976" s="24"/>
      <c r="E976" s="35"/>
      <c r="F976" s="35"/>
      <c r="G976" s="36"/>
      <c r="H976" s="36"/>
      <c r="I976" s="36"/>
      <c r="J976" s="36"/>
      <c r="K976" s="36"/>
      <c r="L976" s="36"/>
      <c r="M976" s="36"/>
      <c r="N976" s="35"/>
      <c r="O976" s="35"/>
      <c r="P976" s="35"/>
      <c r="Q976" s="36"/>
      <c r="R976" s="36"/>
      <c r="S976" s="36"/>
      <c r="T976" s="46"/>
      <c r="U976" s="36"/>
      <c r="V976" s="35"/>
      <c r="W976" s="38" t="str">
        <f t="shared" si="15"/>
        <v/>
      </c>
    </row>
    <row r="977" spans="1:23" x14ac:dyDescent="0.35">
      <c r="A977" s="46"/>
      <c r="B977" s="36"/>
      <c r="C977" s="35"/>
      <c r="D977" s="24"/>
      <c r="E977" s="35"/>
      <c r="F977" s="35"/>
      <c r="G977" s="36"/>
      <c r="H977" s="36"/>
      <c r="I977" s="36"/>
      <c r="J977" s="36"/>
      <c r="K977" s="36"/>
      <c r="L977" s="36"/>
      <c r="M977" s="36"/>
      <c r="N977" s="35"/>
      <c r="O977" s="35"/>
      <c r="P977" s="35"/>
      <c r="Q977" s="36"/>
      <c r="R977" s="36"/>
      <c r="S977" s="36"/>
      <c r="T977" s="46"/>
      <c r="U977" s="36"/>
      <c r="V977" s="35"/>
      <c r="W977" s="38" t="str">
        <f t="shared" si="15"/>
        <v/>
      </c>
    </row>
    <row r="978" spans="1:23" x14ac:dyDescent="0.35">
      <c r="A978" s="46"/>
      <c r="B978" s="36"/>
      <c r="C978" s="35"/>
      <c r="D978" s="24"/>
      <c r="E978" s="35"/>
      <c r="F978" s="35"/>
      <c r="G978" s="36"/>
      <c r="H978" s="36"/>
      <c r="I978" s="36"/>
      <c r="J978" s="36"/>
      <c r="K978" s="36"/>
      <c r="L978" s="36"/>
      <c r="M978" s="36"/>
      <c r="N978" s="35"/>
      <c r="O978" s="35"/>
      <c r="P978" s="35"/>
      <c r="Q978" s="36"/>
      <c r="R978" s="36"/>
      <c r="S978" s="36"/>
      <c r="T978" s="46"/>
      <c r="U978" s="36"/>
      <c r="V978" s="35"/>
      <c r="W978" s="38" t="str">
        <f t="shared" si="15"/>
        <v/>
      </c>
    </row>
    <row r="979" spans="1:23" x14ac:dyDescent="0.35">
      <c r="A979" s="46"/>
      <c r="B979" s="36"/>
      <c r="C979" s="35"/>
      <c r="D979" s="24"/>
      <c r="E979" s="35"/>
      <c r="F979" s="35"/>
      <c r="G979" s="36"/>
      <c r="H979" s="36"/>
      <c r="I979" s="36"/>
      <c r="J979" s="36"/>
      <c r="K979" s="36"/>
      <c r="L979" s="36"/>
      <c r="M979" s="36"/>
      <c r="N979" s="35"/>
      <c r="O979" s="35"/>
      <c r="P979" s="35"/>
      <c r="Q979" s="36"/>
      <c r="R979" s="36"/>
      <c r="S979" s="36"/>
      <c r="T979" s="46"/>
      <c r="U979" s="36"/>
      <c r="V979" s="35"/>
      <c r="W979" s="38" t="str">
        <f t="shared" si="15"/>
        <v/>
      </c>
    </row>
    <row r="980" spans="1:23" x14ac:dyDescent="0.35">
      <c r="A980" s="46"/>
      <c r="B980" s="36"/>
      <c r="C980" s="35"/>
      <c r="D980" s="24"/>
      <c r="E980" s="35"/>
      <c r="F980" s="35"/>
      <c r="G980" s="36"/>
      <c r="H980" s="36"/>
      <c r="I980" s="36"/>
      <c r="J980" s="36"/>
      <c r="K980" s="36"/>
      <c r="L980" s="36"/>
      <c r="M980" s="36"/>
      <c r="N980" s="35"/>
      <c r="O980" s="35"/>
      <c r="P980" s="35"/>
      <c r="Q980" s="36"/>
      <c r="R980" s="36"/>
      <c r="S980" s="36"/>
      <c r="T980" s="46"/>
      <c r="U980" s="36"/>
      <c r="V980" s="35"/>
      <c r="W980" s="38" t="str">
        <f t="shared" si="15"/>
        <v/>
      </c>
    </row>
    <row r="981" spans="1:23" x14ac:dyDescent="0.35">
      <c r="A981" s="46"/>
      <c r="B981" s="36"/>
      <c r="C981" s="35"/>
      <c r="D981" s="24"/>
      <c r="E981" s="35"/>
      <c r="F981" s="35"/>
      <c r="G981" s="36"/>
      <c r="H981" s="36"/>
      <c r="I981" s="36"/>
      <c r="J981" s="36"/>
      <c r="K981" s="36"/>
      <c r="L981" s="36"/>
      <c r="M981" s="36"/>
      <c r="N981" s="35"/>
      <c r="O981" s="35"/>
      <c r="P981" s="35"/>
      <c r="Q981" s="36"/>
      <c r="R981" s="36"/>
      <c r="S981" s="36"/>
      <c r="T981" s="46"/>
      <c r="U981" s="36"/>
      <c r="V981" s="35"/>
      <c r="W981" s="38" t="str">
        <f t="shared" si="15"/>
        <v/>
      </c>
    </row>
    <row r="982" spans="1:23" x14ac:dyDescent="0.35">
      <c r="A982" s="46"/>
      <c r="B982" s="36"/>
      <c r="C982" s="35"/>
      <c r="D982" s="24"/>
      <c r="E982" s="35"/>
      <c r="F982" s="35"/>
      <c r="G982" s="36"/>
      <c r="H982" s="36"/>
      <c r="I982" s="36"/>
      <c r="J982" s="36"/>
      <c r="K982" s="36"/>
      <c r="L982" s="36"/>
      <c r="M982" s="36"/>
      <c r="N982" s="35"/>
      <c r="O982" s="35"/>
      <c r="P982" s="35"/>
      <c r="Q982" s="36"/>
      <c r="R982" s="36"/>
      <c r="S982" s="36"/>
      <c r="T982" s="46"/>
      <c r="U982" s="36"/>
      <c r="V982" s="35"/>
      <c r="W982" s="38" t="str">
        <f t="shared" si="15"/>
        <v/>
      </c>
    </row>
    <row r="983" spans="1:23" x14ac:dyDescent="0.35">
      <c r="A983" s="46"/>
      <c r="B983" s="36"/>
      <c r="C983" s="35"/>
      <c r="D983" s="24"/>
      <c r="E983" s="35"/>
      <c r="F983" s="35"/>
      <c r="G983" s="36"/>
      <c r="H983" s="36"/>
      <c r="I983" s="36"/>
      <c r="J983" s="36"/>
      <c r="K983" s="36"/>
      <c r="L983" s="36"/>
      <c r="M983" s="36"/>
      <c r="N983" s="35"/>
      <c r="O983" s="35"/>
      <c r="P983" s="35"/>
      <c r="Q983" s="36"/>
      <c r="R983" s="36"/>
      <c r="S983" s="36"/>
      <c r="T983" s="46"/>
      <c r="U983" s="36"/>
      <c r="V983" s="35"/>
      <c r="W983" s="38" t="str">
        <f t="shared" si="15"/>
        <v/>
      </c>
    </row>
    <row r="984" spans="1:23" x14ac:dyDescent="0.35">
      <c r="A984" s="46"/>
      <c r="B984" s="36"/>
      <c r="C984" s="35"/>
      <c r="D984" s="24"/>
      <c r="E984" s="35"/>
      <c r="F984" s="35"/>
      <c r="G984" s="36"/>
      <c r="H984" s="36"/>
      <c r="I984" s="36"/>
      <c r="J984" s="36"/>
      <c r="K984" s="36"/>
      <c r="L984" s="36"/>
      <c r="M984" s="36"/>
      <c r="N984" s="35"/>
      <c r="O984" s="35"/>
      <c r="P984" s="35"/>
      <c r="Q984" s="36"/>
      <c r="R984" s="36"/>
      <c r="S984" s="36"/>
      <c r="T984" s="46"/>
      <c r="U984" s="36"/>
      <c r="V984" s="35"/>
      <c r="W984" s="38" t="str">
        <f t="shared" si="15"/>
        <v/>
      </c>
    </row>
    <row r="985" spans="1:23" x14ac:dyDescent="0.35">
      <c r="A985" s="46"/>
      <c r="B985" s="36"/>
      <c r="C985" s="35"/>
      <c r="D985" s="24"/>
      <c r="E985" s="35"/>
      <c r="F985" s="35"/>
      <c r="G985" s="36"/>
      <c r="H985" s="36"/>
      <c r="I985" s="36"/>
      <c r="J985" s="36"/>
      <c r="K985" s="36"/>
      <c r="L985" s="36"/>
      <c r="M985" s="36"/>
      <c r="N985" s="35"/>
      <c r="O985" s="35"/>
      <c r="P985" s="35"/>
      <c r="Q985" s="36"/>
      <c r="R985" s="36"/>
      <c r="S985" s="36"/>
      <c r="T985" s="46"/>
      <c r="U985" s="36"/>
      <c r="V985" s="35"/>
      <c r="W985" s="38" t="str">
        <f t="shared" si="15"/>
        <v/>
      </c>
    </row>
    <row r="986" spans="1:23" x14ac:dyDescent="0.35">
      <c r="A986" s="46"/>
      <c r="B986" s="36"/>
      <c r="C986" s="35"/>
      <c r="D986" s="24"/>
      <c r="E986" s="35"/>
      <c r="F986" s="35"/>
      <c r="G986" s="36"/>
      <c r="H986" s="36"/>
      <c r="I986" s="36"/>
      <c r="J986" s="36"/>
      <c r="K986" s="36"/>
      <c r="L986" s="36"/>
      <c r="M986" s="36"/>
      <c r="N986" s="35"/>
      <c r="O986" s="35"/>
      <c r="P986" s="35"/>
      <c r="Q986" s="36"/>
      <c r="R986" s="36"/>
      <c r="S986" s="36"/>
      <c r="T986" s="46"/>
      <c r="U986" s="36"/>
      <c r="V986" s="35"/>
      <c r="W986" s="38" t="str">
        <f t="shared" si="15"/>
        <v/>
      </c>
    </row>
    <row r="987" spans="1:23" x14ac:dyDescent="0.35">
      <c r="A987" s="46"/>
      <c r="B987" s="36"/>
      <c r="C987" s="35"/>
      <c r="D987" s="24"/>
      <c r="E987" s="35"/>
      <c r="F987" s="35"/>
      <c r="G987" s="36"/>
      <c r="H987" s="36"/>
      <c r="I987" s="36"/>
      <c r="J987" s="36"/>
      <c r="K987" s="36"/>
      <c r="L987" s="36"/>
      <c r="M987" s="36"/>
      <c r="N987" s="35"/>
      <c r="O987" s="35"/>
      <c r="P987" s="35"/>
      <c r="Q987" s="36"/>
      <c r="R987" s="36"/>
      <c r="S987" s="36"/>
      <c r="T987" s="46"/>
      <c r="U987" s="36"/>
      <c r="V987" s="35"/>
      <c r="W987" s="38" t="str">
        <f t="shared" si="15"/>
        <v/>
      </c>
    </row>
    <row r="988" spans="1:23" x14ac:dyDescent="0.35">
      <c r="A988" s="46"/>
      <c r="B988" s="36"/>
      <c r="C988" s="35"/>
      <c r="D988" s="24"/>
      <c r="E988" s="35"/>
      <c r="F988" s="35"/>
      <c r="G988" s="36"/>
      <c r="H988" s="36"/>
      <c r="I988" s="36"/>
      <c r="J988" s="36"/>
      <c r="K988" s="36"/>
      <c r="L988" s="36"/>
      <c r="M988" s="36"/>
      <c r="N988" s="35"/>
      <c r="O988" s="35"/>
      <c r="P988" s="35"/>
      <c r="Q988" s="36"/>
      <c r="R988" s="36"/>
      <c r="S988" s="36"/>
      <c r="T988" s="46"/>
      <c r="U988" s="36"/>
      <c r="V988" s="35"/>
      <c r="W988" s="38" t="str">
        <f t="shared" si="15"/>
        <v/>
      </c>
    </row>
    <row r="989" spans="1:23" x14ac:dyDescent="0.35">
      <c r="A989" s="46"/>
      <c r="B989" s="36"/>
      <c r="C989" s="35"/>
      <c r="D989" s="24"/>
      <c r="E989" s="35"/>
      <c r="F989" s="35"/>
      <c r="G989" s="36"/>
      <c r="H989" s="36"/>
      <c r="I989" s="36"/>
      <c r="J989" s="36"/>
      <c r="K989" s="36"/>
      <c r="L989" s="36"/>
      <c r="M989" s="36"/>
      <c r="N989" s="35"/>
      <c r="O989" s="35"/>
      <c r="P989" s="35"/>
      <c r="Q989" s="36"/>
      <c r="R989" s="36"/>
      <c r="S989" s="36"/>
      <c r="T989" s="46"/>
      <c r="U989" s="36"/>
      <c r="V989" s="35"/>
      <c r="W989" s="38" t="str">
        <f t="shared" si="15"/>
        <v/>
      </c>
    </row>
    <row r="990" spans="1:23" x14ac:dyDescent="0.35">
      <c r="A990" s="46"/>
      <c r="B990" s="36"/>
      <c r="C990" s="35"/>
      <c r="D990" s="24"/>
      <c r="E990" s="35"/>
      <c r="F990" s="35"/>
      <c r="G990" s="36"/>
      <c r="H990" s="36"/>
      <c r="I990" s="36"/>
      <c r="J990" s="36"/>
      <c r="K990" s="36"/>
      <c r="L990" s="36"/>
      <c r="M990" s="36"/>
      <c r="N990" s="35"/>
      <c r="O990" s="35"/>
      <c r="P990" s="35"/>
      <c r="Q990" s="36"/>
      <c r="R990" s="36"/>
      <c r="S990" s="36"/>
      <c r="T990" s="46"/>
      <c r="U990" s="36"/>
      <c r="V990" s="35"/>
      <c r="W990" s="38" t="str">
        <f t="shared" si="15"/>
        <v/>
      </c>
    </row>
    <row r="991" spans="1:23" x14ac:dyDescent="0.35">
      <c r="A991" s="46"/>
      <c r="B991" s="36"/>
      <c r="C991" s="35"/>
      <c r="D991" s="24"/>
      <c r="E991" s="35"/>
      <c r="F991" s="35"/>
      <c r="G991" s="36"/>
      <c r="H991" s="36"/>
      <c r="I991" s="36"/>
      <c r="J991" s="36"/>
      <c r="K991" s="36"/>
      <c r="L991" s="36"/>
      <c r="M991" s="36"/>
      <c r="N991" s="35"/>
      <c r="O991" s="35"/>
      <c r="P991" s="35"/>
      <c r="Q991" s="36"/>
      <c r="R991" s="36"/>
      <c r="S991" s="36"/>
      <c r="T991" s="46"/>
      <c r="U991" s="36"/>
      <c r="V991" s="35"/>
      <c r="W991" s="38" t="str">
        <f t="shared" si="15"/>
        <v/>
      </c>
    </row>
    <row r="992" spans="1:23" x14ac:dyDescent="0.35">
      <c r="A992" s="46"/>
      <c r="B992" s="36"/>
      <c r="C992" s="35"/>
      <c r="D992" s="24"/>
      <c r="E992" s="35"/>
      <c r="F992" s="35"/>
      <c r="G992" s="36"/>
      <c r="H992" s="36"/>
      <c r="I992" s="36"/>
      <c r="J992" s="36"/>
      <c r="K992" s="36"/>
      <c r="L992" s="36"/>
      <c r="M992" s="36"/>
      <c r="N992" s="35"/>
      <c r="O992" s="35"/>
      <c r="P992" s="35"/>
      <c r="Q992" s="36"/>
      <c r="R992" s="36"/>
      <c r="S992" s="36"/>
      <c r="T992" s="46"/>
      <c r="U992" s="36"/>
      <c r="V992" s="35"/>
      <c r="W992" s="38" t="str">
        <f t="shared" si="15"/>
        <v/>
      </c>
    </row>
    <row r="993" spans="1:23" x14ac:dyDescent="0.35">
      <c r="A993" s="46"/>
      <c r="B993" s="36"/>
      <c r="C993" s="35"/>
      <c r="D993" s="24"/>
      <c r="E993" s="35"/>
      <c r="F993" s="35"/>
      <c r="G993" s="36"/>
      <c r="H993" s="36"/>
      <c r="I993" s="36"/>
      <c r="J993" s="36"/>
      <c r="K993" s="36"/>
      <c r="L993" s="36"/>
      <c r="M993" s="36"/>
      <c r="N993" s="35"/>
      <c r="O993" s="35"/>
      <c r="P993" s="35"/>
      <c r="Q993" s="36"/>
      <c r="R993" s="36"/>
      <c r="S993" s="36"/>
      <c r="T993" s="46"/>
      <c r="U993" s="36"/>
      <c r="V993" s="35"/>
      <c r="W993" s="38" t="str">
        <f t="shared" si="15"/>
        <v/>
      </c>
    </row>
    <row r="994" spans="1:23" x14ac:dyDescent="0.35">
      <c r="A994" s="46"/>
      <c r="B994" s="36"/>
      <c r="C994" s="35"/>
      <c r="D994" s="24"/>
      <c r="E994" s="35"/>
      <c r="F994" s="35"/>
      <c r="G994" s="36"/>
      <c r="H994" s="36"/>
      <c r="I994" s="36"/>
      <c r="J994" s="36"/>
      <c r="K994" s="36"/>
      <c r="L994" s="36"/>
      <c r="M994" s="36"/>
      <c r="N994" s="35"/>
      <c r="O994" s="35"/>
      <c r="P994" s="35"/>
      <c r="Q994" s="36"/>
      <c r="R994" s="36"/>
      <c r="S994" s="36"/>
      <c r="T994" s="46"/>
      <c r="U994" s="36"/>
      <c r="V994" s="35"/>
      <c r="W994" s="38" t="str">
        <f t="shared" si="15"/>
        <v/>
      </c>
    </row>
    <row r="995" spans="1:23" x14ac:dyDescent="0.35">
      <c r="A995" s="46"/>
      <c r="B995" s="36"/>
      <c r="C995" s="35"/>
      <c r="D995" s="24"/>
      <c r="E995" s="35"/>
      <c r="F995" s="35"/>
      <c r="G995" s="36"/>
      <c r="H995" s="36"/>
      <c r="I995" s="36"/>
      <c r="J995" s="36"/>
      <c r="K995" s="36"/>
      <c r="L995" s="36"/>
      <c r="M995" s="36"/>
      <c r="N995" s="35"/>
      <c r="O995" s="35"/>
      <c r="P995" s="35"/>
      <c r="Q995" s="36"/>
      <c r="R995" s="36"/>
      <c r="S995" s="36"/>
      <c r="T995" s="46"/>
      <c r="U995" s="36"/>
      <c r="V995" s="35"/>
      <c r="W995" s="38" t="str">
        <f t="shared" si="15"/>
        <v/>
      </c>
    </row>
    <row r="996" spans="1:23" x14ac:dyDescent="0.35">
      <c r="A996" s="46"/>
      <c r="B996" s="36"/>
      <c r="C996" s="35"/>
      <c r="D996" s="24"/>
      <c r="E996" s="35"/>
      <c r="F996" s="35"/>
      <c r="G996" s="36"/>
      <c r="H996" s="36"/>
      <c r="I996" s="36"/>
      <c r="J996" s="36"/>
      <c r="K996" s="36"/>
      <c r="L996" s="36"/>
      <c r="M996" s="36"/>
      <c r="N996" s="35"/>
      <c r="O996" s="35"/>
      <c r="P996" s="35"/>
      <c r="Q996" s="36"/>
      <c r="R996" s="36"/>
      <c r="S996" s="36"/>
      <c r="T996" s="46"/>
      <c r="U996" s="36"/>
      <c r="V996" s="35"/>
      <c r="W996" s="38" t="str">
        <f t="shared" si="15"/>
        <v/>
      </c>
    </row>
    <row r="997" spans="1:23" x14ac:dyDescent="0.35">
      <c r="A997" s="46"/>
      <c r="B997" s="36"/>
      <c r="C997" s="35"/>
      <c r="D997" s="24"/>
      <c r="E997" s="35"/>
      <c r="F997" s="35"/>
      <c r="G997" s="36"/>
      <c r="H997" s="36"/>
      <c r="I997" s="36"/>
      <c r="J997" s="36"/>
      <c r="K997" s="36"/>
      <c r="L997" s="36"/>
      <c r="M997" s="36"/>
      <c r="N997" s="35"/>
      <c r="O997" s="35"/>
      <c r="P997" s="35"/>
      <c r="Q997" s="36"/>
      <c r="R997" s="36"/>
      <c r="S997" s="36"/>
      <c r="T997" s="46"/>
      <c r="U997" s="36"/>
      <c r="V997" s="35"/>
      <c r="W997" s="38" t="str">
        <f t="shared" si="15"/>
        <v/>
      </c>
    </row>
    <row r="998" spans="1:23" x14ac:dyDescent="0.35">
      <c r="A998" s="46"/>
      <c r="B998" s="36"/>
      <c r="C998" s="35"/>
      <c r="D998" s="24"/>
      <c r="E998" s="35"/>
      <c r="F998" s="35"/>
      <c r="G998" s="36"/>
      <c r="H998" s="36"/>
      <c r="I998" s="36"/>
      <c r="J998" s="36"/>
      <c r="K998" s="36"/>
      <c r="L998" s="36"/>
      <c r="M998" s="36"/>
      <c r="N998" s="35"/>
      <c r="O998" s="35"/>
      <c r="P998" s="35"/>
      <c r="Q998" s="36"/>
      <c r="R998" s="36"/>
      <c r="S998" s="36"/>
      <c r="T998" s="46"/>
      <c r="U998" s="36"/>
      <c r="V998" s="35"/>
      <c r="W998" s="38" t="str">
        <f t="shared" si="15"/>
        <v/>
      </c>
    </row>
    <row r="999" spans="1:23" x14ac:dyDescent="0.35">
      <c r="A999" s="46"/>
      <c r="B999" s="36"/>
      <c r="C999" s="35"/>
      <c r="D999" s="24"/>
      <c r="E999" s="35"/>
      <c r="F999" s="35"/>
      <c r="G999" s="36"/>
      <c r="H999" s="36"/>
      <c r="I999" s="36"/>
      <c r="J999" s="36"/>
      <c r="K999" s="36"/>
      <c r="L999" s="36"/>
      <c r="M999" s="36"/>
      <c r="N999" s="35"/>
      <c r="O999" s="35"/>
      <c r="P999" s="35"/>
      <c r="Q999" s="36"/>
      <c r="R999" s="36"/>
      <c r="S999" s="36"/>
      <c r="T999" s="46"/>
      <c r="U999" s="36"/>
      <c r="V999" s="35"/>
      <c r="W999" s="38" t="str">
        <f t="shared" si="15"/>
        <v/>
      </c>
    </row>
    <row r="1000" spans="1:23" x14ac:dyDescent="0.35">
      <c r="A1000" s="46"/>
      <c r="B1000" s="36"/>
      <c r="C1000" s="35"/>
      <c r="D1000" s="24"/>
      <c r="E1000" s="35"/>
      <c r="F1000" s="35"/>
      <c r="G1000" s="36"/>
      <c r="H1000" s="36"/>
      <c r="I1000" s="36"/>
      <c r="J1000" s="36"/>
      <c r="K1000" s="36"/>
      <c r="L1000" s="36"/>
      <c r="M1000" s="36"/>
      <c r="N1000" s="35"/>
      <c r="O1000" s="35"/>
      <c r="P1000" s="35"/>
      <c r="Q1000" s="36"/>
      <c r="R1000" s="36"/>
      <c r="S1000" s="36"/>
      <c r="T1000" s="46"/>
      <c r="U1000" s="36"/>
      <c r="V1000" s="35"/>
      <c r="W1000" s="38" t="str">
        <f t="shared" si="15"/>
        <v/>
      </c>
    </row>
    <row r="1001" spans="1:23" x14ac:dyDescent="0.35">
      <c r="A1001" s="46"/>
      <c r="B1001" s="36"/>
      <c r="C1001" s="35"/>
      <c r="D1001" s="24"/>
      <c r="E1001" s="35"/>
      <c r="F1001" s="35"/>
      <c r="G1001" s="36"/>
      <c r="H1001" s="36"/>
      <c r="I1001" s="36"/>
      <c r="J1001" s="36"/>
      <c r="K1001" s="36"/>
      <c r="L1001" s="36"/>
      <c r="M1001" s="36"/>
      <c r="N1001" s="35"/>
      <c r="O1001" s="35"/>
      <c r="P1001" s="35"/>
      <c r="Q1001" s="36"/>
      <c r="R1001" s="36"/>
      <c r="S1001" s="36"/>
      <c r="T1001" s="46"/>
      <c r="U1001" s="36"/>
      <c r="V1001" s="35"/>
      <c r="W1001" s="38" t="str">
        <f t="shared" si="15"/>
        <v/>
      </c>
    </row>
    <row r="1002" spans="1:23" x14ac:dyDescent="0.35">
      <c r="A1002" s="46"/>
      <c r="B1002" s="36"/>
      <c r="C1002" s="35"/>
      <c r="D1002" s="24"/>
      <c r="E1002" s="35"/>
      <c r="F1002" s="35"/>
      <c r="G1002" s="36"/>
      <c r="H1002" s="36"/>
      <c r="I1002" s="36"/>
      <c r="J1002" s="36"/>
      <c r="K1002" s="36"/>
      <c r="L1002" s="36"/>
      <c r="M1002" s="36"/>
      <c r="N1002" s="35"/>
      <c r="O1002" s="35"/>
      <c r="P1002" s="35"/>
      <c r="Q1002" s="36"/>
      <c r="R1002" s="36"/>
      <c r="S1002" s="36"/>
      <c r="T1002" s="46"/>
      <c r="U1002" s="36"/>
      <c r="V1002" s="35"/>
      <c r="W1002" s="38" t="str">
        <f t="shared" si="15"/>
        <v/>
      </c>
    </row>
    <row r="1003" spans="1:23" x14ac:dyDescent="0.35">
      <c r="A1003" s="46"/>
      <c r="B1003" s="36"/>
      <c r="C1003" s="35"/>
      <c r="D1003" s="24"/>
      <c r="E1003" s="35"/>
      <c r="F1003" s="35"/>
      <c r="G1003" s="36"/>
      <c r="H1003" s="36"/>
      <c r="I1003" s="36"/>
      <c r="J1003" s="36"/>
      <c r="K1003" s="36"/>
      <c r="L1003" s="36"/>
      <c r="M1003" s="36"/>
      <c r="N1003" s="35"/>
      <c r="O1003" s="35"/>
      <c r="P1003" s="35"/>
      <c r="Q1003" s="36"/>
      <c r="R1003" s="36"/>
      <c r="S1003" s="36"/>
      <c r="T1003" s="46"/>
      <c r="U1003" s="36"/>
      <c r="V1003" s="35"/>
      <c r="W1003" s="38" t="str">
        <f t="shared" si="15"/>
        <v/>
      </c>
    </row>
    <row r="1004" spans="1:23" x14ac:dyDescent="0.35">
      <c r="A1004" s="46"/>
      <c r="B1004" s="36"/>
      <c r="C1004" s="35"/>
      <c r="D1004" s="24"/>
      <c r="E1004" s="35"/>
      <c r="F1004" s="35"/>
      <c r="G1004" s="36"/>
      <c r="H1004" s="36"/>
      <c r="I1004" s="36"/>
      <c r="J1004" s="36"/>
      <c r="K1004" s="36"/>
      <c r="L1004" s="36"/>
      <c r="M1004" s="36"/>
      <c r="N1004" s="35"/>
      <c r="O1004" s="35"/>
      <c r="P1004" s="35"/>
      <c r="Q1004" s="36"/>
      <c r="R1004" s="36"/>
      <c r="S1004" s="36"/>
      <c r="T1004" s="46"/>
      <c r="U1004" s="36"/>
      <c r="V1004" s="35"/>
      <c r="W1004" s="38" t="str">
        <f t="shared" si="15"/>
        <v/>
      </c>
    </row>
    <row r="1005" spans="1:23" x14ac:dyDescent="0.35">
      <c r="A1005" s="46"/>
      <c r="B1005" s="36"/>
      <c r="C1005" s="35"/>
      <c r="D1005" s="24"/>
      <c r="E1005" s="35"/>
      <c r="F1005" s="35"/>
      <c r="G1005" s="36"/>
      <c r="H1005" s="36"/>
      <c r="I1005" s="36"/>
      <c r="J1005" s="36"/>
      <c r="K1005" s="36"/>
      <c r="L1005" s="36"/>
      <c r="M1005" s="36"/>
      <c r="N1005" s="35"/>
      <c r="O1005" s="35"/>
      <c r="P1005" s="35"/>
      <c r="Q1005" s="36"/>
      <c r="R1005" s="36"/>
      <c r="S1005" s="36"/>
      <c r="T1005" s="46"/>
      <c r="U1005" s="36"/>
      <c r="V1005" s="35"/>
      <c r="W1005" s="38" t="str">
        <f t="shared" si="15"/>
        <v/>
      </c>
    </row>
  </sheetData>
  <autoFilter ref="A5:W1005" xr:uid="{00000000-0001-0000-1000-000000000000}"/>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BF8F00"/>
  </sheetPr>
  <dimension ref="A1:Q135"/>
  <sheetViews>
    <sheetView showGridLines="0" workbookViewId="0">
      <pane ySplit="8" topLeftCell="A9" activePane="bottomLeft" state="frozen"/>
      <selection pane="bottomLeft"/>
    </sheetView>
  </sheetViews>
  <sheetFormatPr defaultColWidth="8.6328125" defaultRowHeight="14.5" x14ac:dyDescent="0.35"/>
  <cols>
    <col min="1" max="1" width="26" customWidth="1"/>
    <col min="2" max="2" width="30" customWidth="1"/>
    <col min="3" max="3" width="11" customWidth="1"/>
    <col min="4" max="5" width="12" customWidth="1"/>
    <col min="6" max="7" width="17" customWidth="1"/>
    <col min="8" max="8" width="22" customWidth="1"/>
    <col min="9" max="9" width="24" customWidth="1"/>
    <col min="10" max="10" width="18" customWidth="1"/>
    <col min="11" max="12" width="14" customWidth="1"/>
    <col min="13" max="13" width="18" customWidth="1"/>
    <col min="14" max="14" width="22" customWidth="1"/>
    <col min="15" max="15" width="26" customWidth="1"/>
    <col min="16" max="16" width="14" customWidth="1"/>
    <col min="17" max="17" width="18" customWidth="1"/>
  </cols>
  <sheetData>
    <row r="1" spans="1:17" ht="20" x14ac:dyDescent="0.4">
      <c r="A1" s="2" t="s">
        <v>661</v>
      </c>
    </row>
    <row r="2" spans="1:17" x14ac:dyDescent="0.35">
      <c r="A2" s="1" t="s">
        <v>662</v>
      </c>
    </row>
    <row r="4" spans="1:17" ht="63.75" customHeight="1" x14ac:dyDescent="0.35">
      <c r="A4" s="20" t="s">
        <v>663</v>
      </c>
      <c r="B4" s="34">
        <v>46295</v>
      </c>
      <c r="D4" s="59" t="s">
        <v>664</v>
      </c>
      <c r="E4" s="59" t="s">
        <v>665</v>
      </c>
      <c r="F4" s="59" t="s">
        <v>666</v>
      </c>
      <c r="G4" s="59" t="s">
        <v>667</v>
      </c>
      <c r="H4" s="59" t="s">
        <v>668</v>
      </c>
      <c r="I4" s="59" t="s">
        <v>669</v>
      </c>
      <c r="J4" s="59" t="s">
        <v>670</v>
      </c>
    </row>
    <row r="5" spans="1:17" x14ac:dyDescent="0.35">
      <c r="A5" s="20" t="s">
        <v>671</v>
      </c>
      <c r="B5" s="34">
        <v>46265</v>
      </c>
      <c r="D5" s="52">
        <f>IF(OR($B$4="",$B$5=""),"",SUMPRODUCT(('Snapshot History'!$A$6:$A$1005=$B$5)*ISNUMBER(MATCH(INT($B$4)&amp;"|"&amp;'Snapshot History'!$C$6:$C$1005,'Snapshot History'!$W$6:$W$1005,0))))</f>
        <v>7</v>
      </c>
      <c r="E5" s="52">
        <f>IF(OR($B$4="",$B$5=""),"",SUMPRODUCT(('Snapshot History'!$A$6:$A$1005=$B$4)*ISNA(MATCH(INT($B$5)&amp;"|"&amp;'Snapshot History'!$C$6:$C$1005,'Snapshot History'!$W$6:$W$1005,0))))</f>
        <v>1</v>
      </c>
      <c r="F5" s="52">
        <f>IF(OR($B$4="",$B$5=""),"",SUMPRODUCT(('Snapshot History'!$A$6:$A$1005=$B$5)*ISNA(MATCH(INT($B$4)&amp;"|"&amp;'Snapshot History'!$C$6:$C$1005,'Snapshot History'!$W$6:$W$1005,0))))</f>
        <v>0</v>
      </c>
      <c r="G5" s="52">
        <f>IF(OR($B$4="",$B$5=""),"",COUNTIF(O36:O135,"Like-for-like"))</f>
        <v>6</v>
      </c>
      <c r="H5" s="65">
        <f>IF(OR($B$4="",$B$5=""),"",IFERROR(AVERAGEIF(O36:O135,"Like-for-like",E36:E135),""))</f>
        <v>-0.83333333333333337</v>
      </c>
      <c r="I5" s="52">
        <f>IF(OR($B$4="",$B$5=""),"",SUMPRODUCT((O36:O135="Like-for-like")*(G36:G135&lt;&gt;"Within appetite")*(G36:G135&lt;&gt;""))-SUMPRODUCT((O36:O135="Like-for-like")*(F36:F135&lt;&gt;"Within appetite")*(F36:F135&lt;&gt;"")))</f>
        <v>0</v>
      </c>
      <c r="J5" s="52">
        <f>IF(OR($B$4="",$B$5=""),"",COUNTIFS('Snapshot History'!$A$6:$A$1005,$B$4,'Snapshot History'!$N$6:$N$1005,"Appetite breach")+COUNTIFS('Snapshot History'!$A$6:$A$1005,$B$4,'Snapshot History'!$N$6:$N$1005,"Tolerance breach")-COUNTIFS('Snapshot History'!$A$6:$A$1005,$B$5,'Snapshot History'!$N$6:$N$1005,"Appetite breach")-COUNTIFS('Snapshot History'!$A$6:$A$1005,$B$5,'Snapshot History'!$N$6:$N$1005,"Tolerance breach"))</f>
        <v>1</v>
      </c>
    </row>
    <row r="6" spans="1:17" x14ac:dyDescent="0.35">
      <c r="A6" s="49" t="str">
        <f>IF(OR($B$4="",$B$5=""),"Select two snapshot dates to compare",IF(OR(E5&gt;0,F5&gt;0),"Register composition changed ("&amp;E5&amp;" new, "&amp;F5&amp;" removed): judge movement on the like-for-like figures, not the totals.","Same risk population in both snapshots."))</f>
        <v>Register composition changed (1 new, 0 removed): judge movement on the like-for-like figures, not the totals.</v>
      </c>
    </row>
    <row r="8" spans="1:17" ht="63.75" customHeight="1" x14ac:dyDescent="0.35">
      <c r="A8" s="16" t="s">
        <v>644</v>
      </c>
      <c r="B8" s="16" t="s">
        <v>672</v>
      </c>
      <c r="C8" s="16" t="s">
        <v>673</v>
      </c>
      <c r="D8" s="16" t="s">
        <v>57</v>
      </c>
      <c r="E8" s="16" t="s">
        <v>674</v>
      </c>
      <c r="F8" s="16" t="s">
        <v>675</v>
      </c>
      <c r="G8" s="16" t="s">
        <v>60</v>
      </c>
      <c r="H8" s="16" t="s">
        <v>31</v>
      </c>
      <c r="I8" s="16" t="s">
        <v>307</v>
      </c>
      <c r="J8" s="16" t="s">
        <v>676</v>
      </c>
      <c r="K8" s="16" t="s">
        <v>310</v>
      </c>
      <c r="L8" s="16" t="s">
        <v>677</v>
      </c>
      <c r="M8" s="16" t="s">
        <v>678</v>
      </c>
      <c r="N8" s="16" t="s">
        <v>679</v>
      </c>
      <c r="O8" s="16" t="s">
        <v>680</v>
      </c>
      <c r="P8" s="16" t="s">
        <v>681</v>
      </c>
      <c r="Q8" s="16" t="s">
        <v>682</v>
      </c>
    </row>
    <row r="9" spans="1:17" x14ac:dyDescent="0.35">
      <c r="A9" s="46">
        <v>46265</v>
      </c>
      <c r="B9" s="37" t="str">
        <f>IF(A9="","",IFERROR(INDEX('Snapshot History'!$B$6:$B$1005,MATCH(A9,'Snapshot History'!$A$6:$A$1005,0)),""))</f>
        <v>Aug 2026 review</v>
      </c>
      <c r="C9" s="37">
        <f>IF(A9="","",COUNTIF('Snapshot History'!$A$6:$A$1005,A9))</f>
        <v>7</v>
      </c>
      <c r="D9" s="48">
        <f>IF(A9="","",IFERROR(AVERAGEIF('Snapshot History'!$A$6:$A$1005,A9,'Snapshot History'!$J$6:$J$1005),""))</f>
        <v>12</v>
      </c>
      <c r="E9" s="37">
        <f>IF(A9="","",COUNTIFS('Snapshot History'!$A$6:$A$1005,A9,'Snapshot History'!$K$6:$K$1005,Methodology!$B$28)+COUNTIFS('Snapshot History'!$A$6:$A$1005,A9,'Snapshot History'!$K$6:$K$1005,Methodology!$B$29))</f>
        <v>5</v>
      </c>
      <c r="F9" s="37">
        <f>IF(A9="","",COUNTIFS('Snapshot History'!$A$6:$A$1005,A9,'Snapshot History'!$N$6:$N$1005,"Appetite breach")+COUNTIFS('Snapshot History'!$A$6:$A$1005,A9,'Snapshot History'!$N$6:$N$1005,"Tolerance breach"))</f>
        <v>4</v>
      </c>
      <c r="G9" s="37">
        <f>IF(A9="","",COUNTIFS('Snapshot History'!$A$6:$A$1005,A9,'Snapshot History'!$N$6:$N$1005,"Tolerance breach"))</f>
        <v>2</v>
      </c>
      <c r="H9" s="37">
        <f>IF(A9="","",COUNTIFS('Snapshot History'!$A$6:$A$1005,A9,'Snapshot History'!$O$6:$O$1005,"Breach - not accepted"))</f>
        <v>2</v>
      </c>
      <c r="I9" s="37">
        <f>IF(A9="","",COUNTIFS('Snapshot History'!$A$6:$A$1005,A9,'Snapshot History'!$O$6:$O$1005,"Breach - formally accepted"))</f>
        <v>1</v>
      </c>
      <c r="J9" s="37">
        <f>IF(A9="","",COUNTIFS('Snapshot History'!$A$6:$A$1005,A9,'Snapshot History'!$O$6:$O$1005,"Acceptance expired - breach open")+COUNTIFS('Snapshot History'!$A$6:$A$1005,A9,'Snapshot History'!$O$6:$O$1005,"Accepted - expiry not set"))</f>
        <v>1</v>
      </c>
      <c r="K9" s="37">
        <f>IF(A9="","",COUNTIFS('Snapshot History'!$A$6:$A$1005,A9,'Snapshot History'!$S$6:$S$1005,"Gap"))</f>
        <v>2</v>
      </c>
      <c r="L9" s="37">
        <f>IF(A9="","",COUNTIFS('Snapshot History'!$A$6:$A$1005,A9,'Snapshot History'!$P$6:$P$1005,Methodology!$A$43)+COUNTIFS('Snapshot History'!$A$6:$A$1005,A9,'Snapshot History'!$P$6:$P$1005,Methodology!$A$44))</f>
        <v>4</v>
      </c>
      <c r="M9" s="37" t="str">
        <f>""</f>
        <v/>
      </c>
      <c r="N9" s="36">
        <v>7</v>
      </c>
      <c r="O9" s="36">
        <v>84</v>
      </c>
      <c r="P9" s="36">
        <v>4</v>
      </c>
      <c r="Q9" s="37" t="str">
        <f>IF(A9="","",IF(OR(N9="",O9="",P9=""),"Control totals missing",IF(AND(N9=C9,O9=SUMIFS('Snapshot History'!$J$6:$J$1005,'Snapshot History'!$A$6:$A$1005,A9),P9=F9),"Reconciled","MISMATCH")))</f>
        <v>Reconciled</v>
      </c>
    </row>
    <row r="10" spans="1:17" x14ac:dyDescent="0.35">
      <c r="A10" s="46">
        <v>46295</v>
      </c>
      <c r="B10" s="37" t="str">
        <f>IF(A10="","",IFERROR(INDEX('Snapshot History'!$B$6:$B$1005,MATCH(A10,'Snapshot History'!$A$6:$A$1005,0)),""))</f>
        <v>Sep 2026 review</v>
      </c>
      <c r="C10" s="37">
        <f>IF(A10="","",COUNTIF('Snapshot History'!$A$6:$A$1005,A10))</f>
        <v>8</v>
      </c>
      <c r="D10" s="48">
        <f>IF(A10="","",IFERROR(AVERAGEIF('Snapshot History'!$A$6:$A$1005,A10,'Snapshot History'!$J$6:$J$1005),""))</f>
        <v>11.375</v>
      </c>
      <c r="E10" s="37">
        <f>IF(A10="","",COUNTIFS('Snapshot History'!$A$6:$A$1005,A10,'Snapshot History'!$K$6:$K$1005,Methodology!$B$28)+COUNTIFS('Snapshot History'!$A$6:$A$1005,A10,'Snapshot History'!$K$6:$K$1005,Methodology!$B$29))</f>
        <v>4</v>
      </c>
      <c r="F10" s="37">
        <f>IF(A10="","",COUNTIFS('Snapshot History'!$A$6:$A$1005,A10,'Snapshot History'!$N$6:$N$1005,"Appetite breach")+COUNTIFS('Snapshot History'!$A$6:$A$1005,A10,'Snapshot History'!$N$6:$N$1005,"Tolerance breach"))</f>
        <v>5</v>
      </c>
      <c r="G10" s="37">
        <f>IF(A10="","",COUNTIFS('Snapshot History'!$A$6:$A$1005,A10,'Snapshot History'!$N$6:$N$1005,"Tolerance breach"))</f>
        <v>2</v>
      </c>
      <c r="H10" s="37">
        <f>IF(A10="","",COUNTIFS('Snapshot History'!$A$6:$A$1005,A10,'Snapshot History'!$O$6:$O$1005,"Breach - not accepted"))</f>
        <v>2</v>
      </c>
      <c r="I10" s="37">
        <f>IF(A10="","",COUNTIFS('Snapshot History'!$A$6:$A$1005,A10,'Snapshot History'!$O$6:$O$1005,"Breach - formally accepted"))</f>
        <v>2</v>
      </c>
      <c r="J10" s="37">
        <f>IF(A10="","",COUNTIFS('Snapshot History'!$A$6:$A$1005,A10,'Snapshot History'!$O$6:$O$1005,"Acceptance expired - breach open")+COUNTIFS('Snapshot History'!$A$6:$A$1005,A10,'Snapshot History'!$O$6:$O$1005,"Accepted - expiry not set"))</f>
        <v>1</v>
      </c>
      <c r="K10" s="37">
        <f>IF(A10="","",COUNTIFS('Snapshot History'!$A$6:$A$1005,A10,'Snapshot History'!$S$6:$S$1005,"Gap"))</f>
        <v>1</v>
      </c>
      <c r="L10" s="37">
        <f>IF(A10="","",COUNTIFS('Snapshot History'!$A$6:$A$1005,A10,'Snapshot History'!$P$6:$P$1005,Methodology!$A$43)+COUNTIFS('Snapshot History'!$A$6:$A$1005,A10,'Snapshot History'!$P$6:$P$1005,Methodology!$A$44))</f>
        <v>3</v>
      </c>
      <c r="M10" s="37">
        <f t="shared" ref="M10:M30" si="0">IF(OR(A10="",A9=""),"",F10-F9)</f>
        <v>1</v>
      </c>
      <c r="N10" s="36">
        <v>8</v>
      </c>
      <c r="O10" s="36">
        <v>91</v>
      </c>
      <c r="P10" s="36">
        <v>5</v>
      </c>
      <c r="Q10" s="37" t="str">
        <f>IF(A10="","",IF(OR(N10="",O10="",P10=""),"Control totals missing",IF(AND(N10=C10,O10=SUMIFS('Snapshot History'!$J$6:$J$1005,'Snapshot History'!$A$6:$A$1005,A10),P10=F10),"Reconciled","MISMATCH")))</f>
        <v>Reconciled</v>
      </c>
    </row>
    <row r="11" spans="1:17" x14ac:dyDescent="0.35">
      <c r="A11" s="46"/>
      <c r="B11" s="37" t="str">
        <f>IF(A11="","",IFERROR(INDEX('Snapshot History'!$B$6:$B$1005,MATCH(A11,'Snapshot History'!$A$6:$A$1005,0)),""))</f>
        <v/>
      </c>
      <c r="C11" s="37" t="str">
        <f>IF(A11="","",COUNTIF('Snapshot History'!$A$6:$A$1005,A11))</f>
        <v/>
      </c>
      <c r="D11" s="48" t="str">
        <f>IF(A11="","",IFERROR(AVERAGEIF('Snapshot History'!$A$6:$A$1005,A11,'Snapshot History'!$J$6:$J$1005),""))</f>
        <v/>
      </c>
      <c r="E11" s="37" t="str">
        <f>IF(A11="","",COUNTIFS('Snapshot History'!$A$6:$A$1005,A11,'Snapshot History'!$K$6:$K$1005,Methodology!$B$28)+COUNTIFS('Snapshot History'!$A$6:$A$1005,A11,'Snapshot History'!$K$6:$K$1005,Methodology!$B$29))</f>
        <v/>
      </c>
      <c r="F11" s="37" t="str">
        <f>IF(A11="","",COUNTIFS('Snapshot History'!$A$6:$A$1005,A11,'Snapshot History'!$N$6:$N$1005,"Appetite breach")+COUNTIFS('Snapshot History'!$A$6:$A$1005,A11,'Snapshot History'!$N$6:$N$1005,"Tolerance breach"))</f>
        <v/>
      </c>
      <c r="G11" s="37" t="str">
        <f>IF(A11="","",COUNTIFS('Snapshot History'!$A$6:$A$1005,A11,'Snapshot History'!$N$6:$N$1005,"Tolerance breach"))</f>
        <v/>
      </c>
      <c r="H11" s="37" t="str">
        <f>IF(A11="","",COUNTIFS('Snapshot History'!$A$6:$A$1005,A11,'Snapshot History'!$O$6:$O$1005,"Breach - not accepted"))</f>
        <v/>
      </c>
      <c r="I11" s="37" t="str">
        <f>IF(A11="","",COUNTIFS('Snapshot History'!$A$6:$A$1005,A11,'Snapshot History'!$O$6:$O$1005,"Breach - formally accepted"))</f>
        <v/>
      </c>
      <c r="J11" s="37" t="str">
        <f>IF(A11="","",COUNTIFS('Snapshot History'!$A$6:$A$1005,A11,'Snapshot History'!$O$6:$O$1005,"Acceptance expired - breach open")+COUNTIFS('Snapshot History'!$A$6:$A$1005,A11,'Snapshot History'!$O$6:$O$1005,"Accepted - expiry not set"))</f>
        <v/>
      </c>
      <c r="K11" s="37" t="str">
        <f>IF(A11="","",COUNTIFS('Snapshot History'!$A$6:$A$1005,A11,'Snapshot History'!$S$6:$S$1005,"Gap"))</f>
        <v/>
      </c>
      <c r="L11" s="37" t="str">
        <f>IF(A11="","",COUNTIFS('Snapshot History'!$A$6:$A$1005,A11,'Snapshot History'!$P$6:$P$1005,Methodology!$A$43)+COUNTIFS('Snapshot History'!$A$6:$A$1005,A11,'Snapshot History'!$P$6:$P$1005,Methodology!$A$44))</f>
        <v/>
      </c>
      <c r="M11" s="37" t="str">
        <f t="shared" si="0"/>
        <v/>
      </c>
      <c r="N11" s="36"/>
      <c r="O11" s="36"/>
      <c r="P11" s="36"/>
      <c r="Q11" s="37" t="str">
        <f>IF(A11="","",IF(OR(N11="",O11="",P11=""),"Control totals missing",IF(AND(N11=C11,O11=SUMIFS('Snapshot History'!$J$6:$J$1005,'Snapshot History'!$A$6:$A$1005,A11),P11=F11),"Reconciled","MISMATCH")))</f>
        <v/>
      </c>
    </row>
    <row r="12" spans="1:17" x14ac:dyDescent="0.35">
      <c r="A12" s="46"/>
      <c r="B12" s="37" t="str">
        <f>IF(A12="","",IFERROR(INDEX('Snapshot History'!$B$6:$B$1005,MATCH(A12,'Snapshot History'!$A$6:$A$1005,0)),""))</f>
        <v/>
      </c>
      <c r="C12" s="37" t="str">
        <f>IF(A12="","",COUNTIF('Snapshot History'!$A$6:$A$1005,A12))</f>
        <v/>
      </c>
      <c r="D12" s="48" t="str">
        <f>IF(A12="","",IFERROR(AVERAGEIF('Snapshot History'!$A$6:$A$1005,A12,'Snapshot History'!$J$6:$J$1005),""))</f>
        <v/>
      </c>
      <c r="E12" s="37" t="str">
        <f>IF(A12="","",COUNTIFS('Snapshot History'!$A$6:$A$1005,A12,'Snapshot History'!$K$6:$K$1005,Methodology!$B$28)+COUNTIFS('Snapshot History'!$A$6:$A$1005,A12,'Snapshot History'!$K$6:$K$1005,Methodology!$B$29))</f>
        <v/>
      </c>
      <c r="F12" s="37" t="str">
        <f>IF(A12="","",COUNTIFS('Snapshot History'!$A$6:$A$1005,A12,'Snapshot History'!$N$6:$N$1005,"Appetite breach")+COUNTIFS('Snapshot History'!$A$6:$A$1005,A12,'Snapshot History'!$N$6:$N$1005,"Tolerance breach"))</f>
        <v/>
      </c>
      <c r="G12" s="37" t="str">
        <f>IF(A12="","",COUNTIFS('Snapshot History'!$A$6:$A$1005,A12,'Snapshot History'!$N$6:$N$1005,"Tolerance breach"))</f>
        <v/>
      </c>
      <c r="H12" s="37" t="str">
        <f>IF(A12="","",COUNTIFS('Snapshot History'!$A$6:$A$1005,A12,'Snapshot History'!$O$6:$O$1005,"Breach - not accepted"))</f>
        <v/>
      </c>
      <c r="I12" s="37" t="str">
        <f>IF(A12="","",COUNTIFS('Snapshot History'!$A$6:$A$1005,A12,'Snapshot History'!$O$6:$O$1005,"Breach - formally accepted"))</f>
        <v/>
      </c>
      <c r="J12" s="37" t="str">
        <f>IF(A12="","",COUNTIFS('Snapshot History'!$A$6:$A$1005,A12,'Snapshot History'!$O$6:$O$1005,"Acceptance expired - breach open")+COUNTIFS('Snapshot History'!$A$6:$A$1005,A12,'Snapshot History'!$O$6:$O$1005,"Accepted - expiry not set"))</f>
        <v/>
      </c>
      <c r="K12" s="37" t="str">
        <f>IF(A12="","",COUNTIFS('Snapshot History'!$A$6:$A$1005,A12,'Snapshot History'!$S$6:$S$1005,"Gap"))</f>
        <v/>
      </c>
      <c r="L12" s="37" t="str">
        <f>IF(A12="","",COUNTIFS('Snapshot History'!$A$6:$A$1005,A12,'Snapshot History'!$P$6:$P$1005,Methodology!$A$43)+COUNTIFS('Snapshot History'!$A$6:$A$1005,A12,'Snapshot History'!$P$6:$P$1005,Methodology!$A$44))</f>
        <v/>
      </c>
      <c r="M12" s="37" t="str">
        <f t="shared" si="0"/>
        <v/>
      </c>
      <c r="N12" s="36"/>
      <c r="O12" s="36"/>
      <c r="P12" s="36"/>
      <c r="Q12" s="37" t="str">
        <f>IF(A12="","",IF(OR(N12="",O12="",P12=""),"Control totals missing",IF(AND(N12=C12,O12=SUMIFS('Snapshot History'!$J$6:$J$1005,'Snapshot History'!$A$6:$A$1005,A12),P12=F12),"Reconciled","MISMATCH")))</f>
        <v/>
      </c>
    </row>
    <row r="13" spans="1:17" x14ac:dyDescent="0.35">
      <c r="A13" s="46"/>
      <c r="B13" s="37" t="str">
        <f>IF(A13="","",IFERROR(INDEX('Snapshot History'!$B$6:$B$1005,MATCH(A13,'Snapshot History'!$A$6:$A$1005,0)),""))</f>
        <v/>
      </c>
      <c r="C13" s="37" t="str">
        <f>IF(A13="","",COUNTIF('Snapshot History'!$A$6:$A$1005,A13))</f>
        <v/>
      </c>
      <c r="D13" s="48" t="str">
        <f>IF(A13="","",IFERROR(AVERAGEIF('Snapshot History'!$A$6:$A$1005,A13,'Snapshot History'!$J$6:$J$1005),""))</f>
        <v/>
      </c>
      <c r="E13" s="37" t="str">
        <f>IF(A13="","",COUNTIFS('Snapshot History'!$A$6:$A$1005,A13,'Snapshot History'!$K$6:$K$1005,Methodology!$B$28)+COUNTIFS('Snapshot History'!$A$6:$A$1005,A13,'Snapshot History'!$K$6:$K$1005,Methodology!$B$29))</f>
        <v/>
      </c>
      <c r="F13" s="37" t="str">
        <f>IF(A13="","",COUNTIFS('Snapshot History'!$A$6:$A$1005,A13,'Snapshot History'!$N$6:$N$1005,"Appetite breach")+COUNTIFS('Snapshot History'!$A$6:$A$1005,A13,'Snapshot History'!$N$6:$N$1005,"Tolerance breach"))</f>
        <v/>
      </c>
      <c r="G13" s="37" t="str">
        <f>IF(A13="","",COUNTIFS('Snapshot History'!$A$6:$A$1005,A13,'Snapshot History'!$N$6:$N$1005,"Tolerance breach"))</f>
        <v/>
      </c>
      <c r="H13" s="37" t="str">
        <f>IF(A13="","",COUNTIFS('Snapshot History'!$A$6:$A$1005,A13,'Snapshot History'!$O$6:$O$1005,"Breach - not accepted"))</f>
        <v/>
      </c>
      <c r="I13" s="37" t="str">
        <f>IF(A13="","",COUNTIFS('Snapshot History'!$A$6:$A$1005,A13,'Snapshot History'!$O$6:$O$1005,"Breach - formally accepted"))</f>
        <v/>
      </c>
      <c r="J13" s="37" t="str">
        <f>IF(A13="","",COUNTIFS('Snapshot History'!$A$6:$A$1005,A13,'Snapshot History'!$O$6:$O$1005,"Acceptance expired - breach open")+COUNTIFS('Snapshot History'!$A$6:$A$1005,A13,'Snapshot History'!$O$6:$O$1005,"Accepted - expiry not set"))</f>
        <v/>
      </c>
      <c r="K13" s="37" t="str">
        <f>IF(A13="","",COUNTIFS('Snapshot History'!$A$6:$A$1005,A13,'Snapshot History'!$S$6:$S$1005,"Gap"))</f>
        <v/>
      </c>
      <c r="L13" s="37" t="str">
        <f>IF(A13="","",COUNTIFS('Snapshot History'!$A$6:$A$1005,A13,'Snapshot History'!$P$6:$P$1005,Methodology!$A$43)+COUNTIFS('Snapshot History'!$A$6:$A$1005,A13,'Snapshot History'!$P$6:$P$1005,Methodology!$A$44))</f>
        <v/>
      </c>
      <c r="M13" s="37" t="str">
        <f t="shared" si="0"/>
        <v/>
      </c>
      <c r="N13" s="36"/>
      <c r="O13" s="36"/>
      <c r="P13" s="36"/>
      <c r="Q13" s="37" t="str">
        <f>IF(A13="","",IF(OR(N13="",O13="",P13=""),"Control totals missing",IF(AND(N13=C13,O13=SUMIFS('Snapshot History'!$J$6:$J$1005,'Snapshot History'!$A$6:$A$1005,A13),P13=F13),"Reconciled","MISMATCH")))</f>
        <v/>
      </c>
    </row>
    <row r="14" spans="1:17" x14ac:dyDescent="0.35">
      <c r="A14" s="46"/>
      <c r="B14" s="37" t="str">
        <f>IF(A14="","",IFERROR(INDEX('Snapshot History'!$B$6:$B$1005,MATCH(A14,'Snapshot History'!$A$6:$A$1005,0)),""))</f>
        <v/>
      </c>
      <c r="C14" s="37" t="str">
        <f>IF(A14="","",COUNTIF('Snapshot History'!$A$6:$A$1005,A14))</f>
        <v/>
      </c>
      <c r="D14" s="48" t="str">
        <f>IF(A14="","",IFERROR(AVERAGEIF('Snapshot History'!$A$6:$A$1005,A14,'Snapshot History'!$J$6:$J$1005),""))</f>
        <v/>
      </c>
      <c r="E14" s="37" t="str">
        <f>IF(A14="","",COUNTIFS('Snapshot History'!$A$6:$A$1005,A14,'Snapshot History'!$K$6:$K$1005,Methodology!$B$28)+COUNTIFS('Snapshot History'!$A$6:$A$1005,A14,'Snapshot History'!$K$6:$K$1005,Methodology!$B$29))</f>
        <v/>
      </c>
      <c r="F14" s="37" t="str">
        <f>IF(A14="","",COUNTIFS('Snapshot History'!$A$6:$A$1005,A14,'Snapshot History'!$N$6:$N$1005,"Appetite breach")+COUNTIFS('Snapshot History'!$A$6:$A$1005,A14,'Snapshot History'!$N$6:$N$1005,"Tolerance breach"))</f>
        <v/>
      </c>
      <c r="G14" s="37" t="str">
        <f>IF(A14="","",COUNTIFS('Snapshot History'!$A$6:$A$1005,A14,'Snapshot History'!$N$6:$N$1005,"Tolerance breach"))</f>
        <v/>
      </c>
      <c r="H14" s="37" t="str">
        <f>IF(A14="","",COUNTIFS('Snapshot History'!$A$6:$A$1005,A14,'Snapshot History'!$O$6:$O$1005,"Breach - not accepted"))</f>
        <v/>
      </c>
      <c r="I14" s="37" t="str">
        <f>IF(A14="","",COUNTIFS('Snapshot History'!$A$6:$A$1005,A14,'Snapshot History'!$O$6:$O$1005,"Breach - formally accepted"))</f>
        <v/>
      </c>
      <c r="J14" s="37" t="str">
        <f>IF(A14="","",COUNTIFS('Snapshot History'!$A$6:$A$1005,A14,'Snapshot History'!$O$6:$O$1005,"Acceptance expired - breach open")+COUNTIFS('Snapshot History'!$A$6:$A$1005,A14,'Snapshot History'!$O$6:$O$1005,"Accepted - expiry not set"))</f>
        <v/>
      </c>
      <c r="K14" s="37" t="str">
        <f>IF(A14="","",COUNTIFS('Snapshot History'!$A$6:$A$1005,A14,'Snapshot History'!$S$6:$S$1005,"Gap"))</f>
        <v/>
      </c>
      <c r="L14" s="37" t="str">
        <f>IF(A14="","",COUNTIFS('Snapshot History'!$A$6:$A$1005,A14,'Snapshot History'!$P$6:$P$1005,Methodology!$A$43)+COUNTIFS('Snapshot History'!$A$6:$A$1005,A14,'Snapshot History'!$P$6:$P$1005,Methodology!$A$44))</f>
        <v/>
      </c>
      <c r="M14" s="37" t="str">
        <f t="shared" si="0"/>
        <v/>
      </c>
      <c r="N14" s="36"/>
      <c r="O14" s="36"/>
      <c r="P14" s="36"/>
      <c r="Q14" s="37" t="str">
        <f>IF(A14="","",IF(OR(N14="",O14="",P14=""),"Control totals missing",IF(AND(N14=C14,O14=SUMIFS('Snapshot History'!$J$6:$J$1005,'Snapshot History'!$A$6:$A$1005,A14),P14=F14),"Reconciled","MISMATCH")))</f>
        <v/>
      </c>
    </row>
    <row r="15" spans="1:17" x14ac:dyDescent="0.35">
      <c r="A15" s="46"/>
      <c r="B15" s="37" t="str">
        <f>IF(A15="","",IFERROR(INDEX('Snapshot History'!$B$6:$B$1005,MATCH(A15,'Snapshot History'!$A$6:$A$1005,0)),""))</f>
        <v/>
      </c>
      <c r="C15" s="37" t="str">
        <f>IF(A15="","",COUNTIF('Snapshot History'!$A$6:$A$1005,A15))</f>
        <v/>
      </c>
      <c r="D15" s="48" t="str">
        <f>IF(A15="","",IFERROR(AVERAGEIF('Snapshot History'!$A$6:$A$1005,A15,'Snapshot History'!$J$6:$J$1005),""))</f>
        <v/>
      </c>
      <c r="E15" s="37" t="str">
        <f>IF(A15="","",COUNTIFS('Snapshot History'!$A$6:$A$1005,A15,'Snapshot History'!$K$6:$K$1005,Methodology!$B$28)+COUNTIFS('Snapshot History'!$A$6:$A$1005,A15,'Snapshot History'!$K$6:$K$1005,Methodology!$B$29))</f>
        <v/>
      </c>
      <c r="F15" s="37" t="str">
        <f>IF(A15="","",COUNTIFS('Snapshot History'!$A$6:$A$1005,A15,'Snapshot History'!$N$6:$N$1005,"Appetite breach")+COUNTIFS('Snapshot History'!$A$6:$A$1005,A15,'Snapshot History'!$N$6:$N$1005,"Tolerance breach"))</f>
        <v/>
      </c>
      <c r="G15" s="37" t="str">
        <f>IF(A15="","",COUNTIFS('Snapshot History'!$A$6:$A$1005,A15,'Snapshot History'!$N$6:$N$1005,"Tolerance breach"))</f>
        <v/>
      </c>
      <c r="H15" s="37" t="str">
        <f>IF(A15="","",COUNTIFS('Snapshot History'!$A$6:$A$1005,A15,'Snapshot History'!$O$6:$O$1005,"Breach - not accepted"))</f>
        <v/>
      </c>
      <c r="I15" s="37" t="str">
        <f>IF(A15="","",COUNTIFS('Snapshot History'!$A$6:$A$1005,A15,'Snapshot History'!$O$6:$O$1005,"Breach - formally accepted"))</f>
        <v/>
      </c>
      <c r="J15" s="37" t="str">
        <f>IF(A15="","",COUNTIFS('Snapshot History'!$A$6:$A$1005,A15,'Snapshot History'!$O$6:$O$1005,"Acceptance expired - breach open")+COUNTIFS('Snapshot History'!$A$6:$A$1005,A15,'Snapshot History'!$O$6:$O$1005,"Accepted - expiry not set"))</f>
        <v/>
      </c>
      <c r="K15" s="37" t="str">
        <f>IF(A15="","",COUNTIFS('Snapshot History'!$A$6:$A$1005,A15,'Snapshot History'!$S$6:$S$1005,"Gap"))</f>
        <v/>
      </c>
      <c r="L15" s="37" t="str">
        <f>IF(A15="","",COUNTIFS('Snapshot History'!$A$6:$A$1005,A15,'Snapshot History'!$P$6:$P$1005,Methodology!$A$43)+COUNTIFS('Snapshot History'!$A$6:$A$1005,A15,'Snapshot History'!$P$6:$P$1005,Methodology!$A$44))</f>
        <v/>
      </c>
      <c r="M15" s="37" t="str">
        <f t="shared" si="0"/>
        <v/>
      </c>
      <c r="N15" s="36"/>
      <c r="O15" s="36"/>
      <c r="P15" s="36"/>
      <c r="Q15" s="37" t="str">
        <f>IF(A15="","",IF(OR(N15="",O15="",P15=""),"Control totals missing",IF(AND(N15=C15,O15=SUMIFS('Snapshot History'!$J$6:$J$1005,'Snapshot History'!$A$6:$A$1005,A15),P15=F15),"Reconciled","MISMATCH")))</f>
        <v/>
      </c>
    </row>
    <row r="16" spans="1:17" x14ac:dyDescent="0.35">
      <c r="A16" s="46"/>
      <c r="B16" s="37" t="str">
        <f>IF(A16="","",IFERROR(INDEX('Snapshot History'!$B$6:$B$1005,MATCH(A16,'Snapshot History'!$A$6:$A$1005,0)),""))</f>
        <v/>
      </c>
      <c r="C16" s="37" t="str">
        <f>IF(A16="","",COUNTIF('Snapshot History'!$A$6:$A$1005,A16))</f>
        <v/>
      </c>
      <c r="D16" s="48" t="str">
        <f>IF(A16="","",IFERROR(AVERAGEIF('Snapshot History'!$A$6:$A$1005,A16,'Snapshot History'!$J$6:$J$1005),""))</f>
        <v/>
      </c>
      <c r="E16" s="37" t="str">
        <f>IF(A16="","",COUNTIFS('Snapshot History'!$A$6:$A$1005,A16,'Snapshot History'!$K$6:$K$1005,Methodology!$B$28)+COUNTIFS('Snapshot History'!$A$6:$A$1005,A16,'Snapshot History'!$K$6:$K$1005,Methodology!$B$29))</f>
        <v/>
      </c>
      <c r="F16" s="37" t="str">
        <f>IF(A16="","",COUNTIFS('Snapshot History'!$A$6:$A$1005,A16,'Snapshot History'!$N$6:$N$1005,"Appetite breach")+COUNTIFS('Snapshot History'!$A$6:$A$1005,A16,'Snapshot History'!$N$6:$N$1005,"Tolerance breach"))</f>
        <v/>
      </c>
      <c r="G16" s="37" t="str">
        <f>IF(A16="","",COUNTIFS('Snapshot History'!$A$6:$A$1005,A16,'Snapshot History'!$N$6:$N$1005,"Tolerance breach"))</f>
        <v/>
      </c>
      <c r="H16" s="37" t="str">
        <f>IF(A16="","",COUNTIFS('Snapshot History'!$A$6:$A$1005,A16,'Snapshot History'!$O$6:$O$1005,"Breach - not accepted"))</f>
        <v/>
      </c>
      <c r="I16" s="37" t="str">
        <f>IF(A16="","",COUNTIFS('Snapshot History'!$A$6:$A$1005,A16,'Snapshot History'!$O$6:$O$1005,"Breach - formally accepted"))</f>
        <v/>
      </c>
      <c r="J16" s="37" t="str">
        <f>IF(A16="","",COUNTIFS('Snapshot History'!$A$6:$A$1005,A16,'Snapshot History'!$O$6:$O$1005,"Acceptance expired - breach open")+COUNTIFS('Snapshot History'!$A$6:$A$1005,A16,'Snapshot History'!$O$6:$O$1005,"Accepted - expiry not set"))</f>
        <v/>
      </c>
      <c r="K16" s="37" t="str">
        <f>IF(A16="","",COUNTIFS('Snapshot History'!$A$6:$A$1005,A16,'Snapshot History'!$S$6:$S$1005,"Gap"))</f>
        <v/>
      </c>
      <c r="L16" s="37" t="str">
        <f>IF(A16="","",COUNTIFS('Snapshot History'!$A$6:$A$1005,A16,'Snapshot History'!$P$6:$P$1005,Methodology!$A$43)+COUNTIFS('Snapshot History'!$A$6:$A$1005,A16,'Snapshot History'!$P$6:$P$1005,Methodology!$A$44))</f>
        <v/>
      </c>
      <c r="M16" s="37" t="str">
        <f t="shared" si="0"/>
        <v/>
      </c>
      <c r="N16" s="36"/>
      <c r="O16" s="36"/>
      <c r="P16" s="36"/>
      <c r="Q16" s="37" t="str">
        <f>IF(A16="","",IF(OR(N16="",O16="",P16=""),"Control totals missing",IF(AND(N16=C16,O16=SUMIFS('Snapshot History'!$J$6:$J$1005,'Snapshot History'!$A$6:$A$1005,A16),P16=F16),"Reconciled","MISMATCH")))</f>
        <v/>
      </c>
    </row>
    <row r="17" spans="1:17" x14ac:dyDescent="0.35">
      <c r="A17" s="46"/>
      <c r="B17" s="37" t="str">
        <f>IF(A17="","",IFERROR(INDEX('Snapshot History'!$B$6:$B$1005,MATCH(A17,'Snapshot History'!$A$6:$A$1005,0)),""))</f>
        <v/>
      </c>
      <c r="C17" s="37" t="str">
        <f>IF(A17="","",COUNTIF('Snapshot History'!$A$6:$A$1005,A17))</f>
        <v/>
      </c>
      <c r="D17" s="48" t="str">
        <f>IF(A17="","",IFERROR(AVERAGEIF('Snapshot History'!$A$6:$A$1005,A17,'Snapshot History'!$J$6:$J$1005),""))</f>
        <v/>
      </c>
      <c r="E17" s="37" t="str">
        <f>IF(A17="","",COUNTIFS('Snapshot History'!$A$6:$A$1005,A17,'Snapshot History'!$K$6:$K$1005,Methodology!$B$28)+COUNTIFS('Snapshot History'!$A$6:$A$1005,A17,'Snapshot History'!$K$6:$K$1005,Methodology!$B$29))</f>
        <v/>
      </c>
      <c r="F17" s="37" t="str">
        <f>IF(A17="","",COUNTIFS('Snapshot History'!$A$6:$A$1005,A17,'Snapshot History'!$N$6:$N$1005,"Appetite breach")+COUNTIFS('Snapshot History'!$A$6:$A$1005,A17,'Snapshot History'!$N$6:$N$1005,"Tolerance breach"))</f>
        <v/>
      </c>
      <c r="G17" s="37" t="str">
        <f>IF(A17="","",COUNTIFS('Snapshot History'!$A$6:$A$1005,A17,'Snapshot History'!$N$6:$N$1005,"Tolerance breach"))</f>
        <v/>
      </c>
      <c r="H17" s="37" t="str">
        <f>IF(A17="","",COUNTIFS('Snapshot History'!$A$6:$A$1005,A17,'Snapshot History'!$O$6:$O$1005,"Breach - not accepted"))</f>
        <v/>
      </c>
      <c r="I17" s="37" t="str">
        <f>IF(A17="","",COUNTIFS('Snapshot History'!$A$6:$A$1005,A17,'Snapshot History'!$O$6:$O$1005,"Breach - formally accepted"))</f>
        <v/>
      </c>
      <c r="J17" s="37" t="str">
        <f>IF(A17="","",COUNTIFS('Snapshot History'!$A$6:$A$1005,A17,'Snapshot History'!$O$6:$O$1005,"Acceptance expired - breach open")+COUNTIFS('Snapshot History'!$A$6:$A$1005,A17,'Snapshot History'!$O$6:$O$1005,"Accepted - expiry not set"))</f>
        <v/>
      </c>
      <c r="K17" s="37" t="str">
        <f>IF(A17="","",COUNTIFS('Snapshot History'!$A$6:$A$1005,A17,'Snapshot History'!$S$6:$S$1005,"Gap"))</f>
        <v/>
      </c>
      <c r="L17" s="37" t="str">
        <f>IF(A17="","",COUNTIFS('Snapshot History'!$A$6:$A$1005,A17,'Snapshot History'!$P$6:$P$1005,Methodology!$A$43)+COUNTIFS('Snapshot History'!$A$6:$A$1005,A17,'Snapshot History'!$P$6:$P$1005,Methodology!$A$44))</f>
        <v/>
      </c>
      <c r="M17" s="37" t="str">
        <f t="shared" si="0"/>
        <v/>
      </c>
      <c r="N17" s="36"/>
      <c r="O17" s="36"/>
      <c r="P17" s="36"/>
      <c r="Q17" s="37" t="str">
        <f>IF(A17="","",IF(OR(N17="",O17="",P17=""),"Control totals missing",IF(AND(N17=C17,O17=SUMIFS('Snapshot History'!$J$6:$J$1005,'Snapshot History'!$A$6:$A$1005,A17),P17=F17),"Reconciled","MISMATCH")))</f>
        <v/>
      </c>
    </row>
    <row r="18" spans="1:17" x14ac:dyDescent="0.35">
      <c r="A18" s="46"/>
      <c r="B18" s="37" t="str">
        <f>IF(A18="","",IFERROR(INDEX('Snapshot History'!$B$6:$B$1005,MATCH(A18,'Snapshot History'!$A$6:$A$1005,0)),""))</f>
        <v/>
      </c>
      <c r="C18" s="37" t="str">
        <f>IF(A18="","",COUNTIF('Snapshot History'!$A$6:$A$1005,A18))</f>
        <v/>
      </c>
      <c r="D18" s="48" t="str">
        <f>IF(A18="","",IFERROR(AVERAGEIF('Snapshot History'!$A$6:$A$1005,A18,'Snapshot History'!$J$6:$J$1005),""))</f>
        <v/>
      </c>
      <c r="E18" s="37" t="str">
        <f>IF(A18="","",COUNTIFS('Snapshot History'!$A$6:$A$1005,A18,'Snapshot History'!$K$6:$K$1005,Methodology!$B$28)+COUNTIFS('Snapshot History'!$A$6:$A$1005,A18,'Snapshot History'!$K$6:$K$1005,Methodology!$B$29))</f>
        <v/>
      </c>
      <c r="F18" s="37" t="str">
        <f>IF(A18="","",COUNTIFS('Snapshot History'!$A$6:$A$1005,A18,'Snapshot History'!$N$6:$N$1005,"Appetite breach")+COUNTIFS('Snapshot History'!$A$6:$A$1005,A18,'Snapshot History'!$N$6:$N$1005,"Tolerance breach"))</f>
        <v/>
      </c>
      <c r="G18" s="37" t="str">
        <f>IF(A18="","",COUNTIFS('Snapshot History'!$A$6:$A$1005,A18,'Snapshot History'!$N$6:$N$1005,"Tolerance breach"))</f>
        <v/>
      </c>
      <c r="H18" s="37" t="str">
        <f>IF(A18="","",COUNTIFS('Snapshot History'!$A$6:$A$1005,A18,'Snapshot History'!$O$6:$O$1005,"Breach - not accepted"))</f>
        <v/>
      </c>
      <c r="I18" s="37" t="str">
        <f>IF(A18="","",COUNTIFS('Snapshot History'!$A$6:$A$1005,A18,'Snapshot History'!$O$6:$O$1005,"Breach - formally accepted"))</f>
        <v/>
      </c>
      <c r="J18" s="37" t="str">
        <f>IF(A18="","",COUNTIFS('Snapshot History'!$A$6:$A$1005,A18,'Snapshot History'!$O$6:$O$1005,"Acceptance expired - breach open")+COUNTIFS('Snapshot History'!$A$6:$A$1005,A18,'Snapshot History'!$O$6:$O$1005,"Accepted - expiry not set"))</f>
        <v/>
      </c>
      <c r="K18" s="37" t="str">
        <f>IF(A18="","",COUNTIFS('Snapshot History'!$A$6:$A$1005,A18,'Snapshot History'!$S$6:$S$1005,"Gap"))</f>
        <v/>
      </c>
      <c r="L18" s="37" t="str">
        <f>IF(A18="","",COUNTIFS('Snapshot History'!$A$6:$A$1005,A18,'Snapshot History'!$P$6:$P$1005,Methodology!$A$43)+COUNTIFS('Snapshot History'!$A$6:$A$1005,A18,'Snapshot History'!$P$6:$P$1005,Methodology!$A$44))</f>
        <v/>
      </c>
      <c r="M18" s="37" t="str">
        <f t="shared" si="0"/>
        <v/>
      </c>
      <c r="N18" s="36"/>
      <c r="O18" s="36"/>
      <c r="P18" s="36"/>
      <c r="Q18" s="37" t="str">
        <f>IF(A18="","",IF(OR(N18="",O18="",P18=""),"Control totals missing",IF(AND(N18=C18,O18=SUMIFS('Snapshot History'!$J$6:$J$1005,'Snapshot History'!$A$6:$A$1005,A18),P18=F18),"Reconciled","MISMATCH")))</f>
        <v/>
      </c>
    </row>
    <row r="19" spans="1:17" x14ac:dyDescent="0.35">
      <c r="A19" s="46"/>
      <c r="B19" s="37" t="str">
        <f>IF(A19="","",IFERROR(INDEX('Snapshot History'!$B$6:$B$1005,MATCH(A19,'Snapshot History'!$A$6:$A$1005,0)),""))</f>
        <v/>
      </c>
      <c r="C19" s="37" t="str">
        <f>IF(A19="","",COUNTIF('Snapshot History'!$A$6:$A$1005,A19))</f>
        <v/>
      </c>
      <c r="D19" s="48" t="str">
        <f>IF(A19="","",IFERROR(AVERAGEIF('Snapshot History'!$A$6:$A$1005,A19,'Snapshot History'!$J$6:$J$1005),""))</f>
        <v/>
      </c>
      <c r="E19" s="37" t="str">
        <f>IF(A19="","",COUNTIFS('Snapshot History'!$A$6:$A$1005,A19,'Snapshot History'!$K$6:$K$1005,Methodology!$B$28)+COUNTIFS('Snapshot History'!$A$6:$A$1005,A19,'Snapshot History'!$K$6:$K$1005,Methodology!$B$29))</f>
        <v/>
      </c>
      <c r="F19" s="37" t="str">
        <f>IF(A19="","",COUNTIFS('Snapshot History'!$A$6:$A$1005,A19,'Snapshot History'!$N$6:$N$1005,"Appetite breach")+COUNTIFS('Snapshot History'!$A$6:$A$1005,A19,'Snapshot History'!$N$6:$N$1005,"Tolerance breach"))</f>
        <v/>
      </c>
      <c r="G19" s="37" t="str">
        <f>IF(A19="","",COUNTIFS('Snapshot History'!$A$6:$A$1005,A19,'Snapshot History'!$N$6:$N$1005,"Tolerance breach"))</f>
        <v/>
      </c>
      <c r="H19" s="37" t="str">
        <f>IF(A19="","",COUNTIFS('Snapshot History'!$A$6:$A$1005,A19,'Snapshot History'!$O$6:$O$1005,"Breach - not accepted"))</f>
        <v/>
      </c>
      <c r="I19" s="37" t="str">
        <f>IF(A19="","",COUNTIFS('Snapshot History'!$A$6:$A$1005,A19,'Snapshot History'!$O$6:$O$1005,"Breach - formally accepted"))</f>
        <v/>
      </c>
      <c r="J19" s="37" t="str">
        <f>IF(A19="","",COUNTIFS('Snapshot History'!$A$6:$A$1005,A19,'Snapshot History'!$O$6:$O$1005,"Acceptance expired - breach open")+COUNTIFS('Snapshot History'!$A$6:$A$1005,A19,'Snapshot History'!$O$6:$O$1005,"Accepted - expiry not set"))</f>
        <v/>
      </c>
      <c r="K19" s="37" t="str">
        <f>IF(A19="","",COUNTIFS('Snapshot History'!$A$6:$A$1005,A19,'Snapshot History'!$S$6:$S$1005,"Gap"))</f>
        <v/>
      </c>
      <c r="L19" s="37" t="str">
        <f>IF(A19="","",COUNTIFS('Snapshot History'!$A$6:$A$1005,A19,'Snapshot History'!$P$6:$P$1005,Methodology!$A$43)+COUNTIFS('Snapshot History'!$A$6:$A$1005,A19,'Snapshot History'!$P$6:$P$1005,Methodology!$A$44))</f>
        <v/>
      </c>
      <c r="M19" s="37" t="str">
        <f t="shared" si="0"/>
        <v/>
      </c>
      <c r="N19" s="36"/>
      <c r="O19" s="36"/>
      <c r="P19" s="36"/>
      <c r="Q19" s="37" t="str">
        <f>IF(A19="","",IF(OR(N19="",O19="",P19=""),"Control totals missing",IF(AND(N19=C19,O19=SUMIFS('Snapshot History'!$J$6:$J$1005,'Snapshot History'!$A$6:$A$1005,A19),P19=F19),"Reconciled","MISMATCH")))</f>
        <v/>
      </c>
    </row>
    <row r="20" spans="1:17" x14ac:dyDescent="0.35">
      <c r="A20" s="46"/>
      <c r="B20" s="37" t="str">
        <f>IF(A20="","",IFERROR(INDEX('Snapshot History'!$B$6:$B$1005,MATCH(A20,'Snapshot History'!$A$6:$A$1005,0)),""))</f>
        <v/>
      </c>
      <c r="C20" s="37" t="str">
        <f>IF(A20="","",COUNTIF('Snapshot History'!$A$6:$A$1005,A20))</f>
        <v/>
      </c>
      <c r="D20" s="48" t="str">
        <f>IF(A20="","",IFERROR(AVERAGEIF('Snapshot History'!$A$6:$A$1005,A20,'Snapshot History'!$J$6:$J$1005),""))</f>
        <v/>
      </c>
      <c r="E20" s="37" t="str">
        <f>IF(A20="","",COUNTIFS('Snapshot History'!$A$6:$A$1005,A20,'Snapshot History'!$K$6:$K$1005,Methodology!$B$28)+COUNTIFS('Snapshot History'!$A$6:$A$1005,A20,'Snapshot History'!$K$6:$K$1005,Methodology!$B$29))</f>
        <v/>
      </c>
      <c r="F20" s="37" t="str">
        <f>IF(A20="","",COUNTIFS('Snapshot History'!$A$6:$A$1005,A20,'Snapshot History'!$N$6:$N$1005,"Appetite breach")+COUNTIFS('Snapshot History'!$A$6:$A$1005,A20,'Snapshot History'!$N$6:$N$1005,"Tolerance breach"))</f>
        <v/>
      </c>
      <c r="G20" s="37" t="str">
        <f>IF(A20="","",COUNTIFS('Snapshot History'!$A$6:$A$1005,A20,'Snapshot History'!$N$6:$N$1005,"Tolerance breach"))</f>
        <v/>
      </c>
      <c r="H20" s="37" t="str">
        <f>IF(A20="","",COUNTIFS('Snapshot History'!$A$6:$A$1005,A20,'Snapshot History'!$O$6:$O$1005,"Breach - not accepted"))</f>
        <v/>
      </c>
      <c r="I20" s="37" t="str">
        <f>IF(A20="","",COUNTIFS('Snapshot History'!$A$6:$A$1005,A20,'Snapshot History'!$O$6:$O$1005,"Breach - formally accepted"))</f>
        <v/>
      </c>
      <c r="J20" s="37" t="str">
        <f>IF(A20="","",COUNTIFS('Snapshot History'!$A$6:$A$1005,A20,'Snapshot History'!$O$6:$O$1005,"Acceptance expired - breach open")+COUNTIFS('Snapshot History'!$A$6:$A$1005,A20,'Snapshot History'!$O$6:$O$1005,"Accepted - expiry not set"))</f>
        <v/>
      </c>
      <c r="K20" s="37" t="str">
        <f>IF(A20="","",COUNTIFS('Snapshot History'!$A$6:$A$1005,A20,'Snapshot History'!$S$6:$S$1005,"Gap"))</f>
        <v/>
      </c>
      <c r="L20" s="37" t="str">
        <f>IF(A20="","",COUNTIFS('Snapshot History'!$A$6:$A$1005,A20,'Snapshot History'!$P$6:$P$1005,Methodology!$A$43)+COUNTIFS('Snapshot History'!$A$6:$A$1005,A20,'Snapshot History'!$P$6:$P$1005,Methodology!$A$44))</f>
        <v/>
      </c>
      <c r="M20" s="37" t="str">
        <f t="shared" si="0"/>
        <v/>
      </c>
      <c r="N20" s="36"/>
      <c r="O20" s="36"/>
      <c r="P20" s="36"/>
      <c r="Q20" s="37" t="str">
        <f>IF(A20="","",IF(OR(N20="",O20="",P20=""),"Control totals missing",IF(AND(N20=C20,O20=SUMIFS('Snapshot History'!$J$6:$J$1005,'Snapshot History'!$A$6:$A$1005,A20),P20=F20),"Reconciled","MISMATCH")))</f>
        <v/>
      </c>
    </row>
    <row r="21" spans="1:17" x14ac:dyDescent="0.35">
      <c r="A21" s="46"/>
      <c r="B21" s="37" t="str">
        <f>IF(A21="","",IFERROR(INDEX('Snapshot History'!$B$6:$B$1005,MATCH(A21,'Snapshot History'!$A$6:$A$1005,0)),""))</f>
        <v/>
      </c>
      <c r="C21" s="37" t="str">
        <f>IF(A21="","",COUNTIF('Snapshot History'!$A$6:$A$1005,A21))</f>
        <v/>
      </c>
      <c r="D21" s="48" t="str">
        <f>IF(A21="","",IFERROR(AVERAGEIF('Snapshot History'!$A$6:$A$1005,A21,'Snapshot History'!$J$6:$J$1005),""))</f>
        <v/>
      </c>
      <c r="E21" s="37" t="str">
        <f>IF(A21="","",COUNTIFS('Snapshot History'!$A$6:$A$1005,A21,'Snapshot History'!$K$6:$K$1005,Methodology!$B$28)+COUNTIFS('Snapshot History'!$A$6:$A$1005,A21,'Snapshot History'!$K$6:$K$1005,Methodology!$B$29))</f>
        <v/>
      </c>
      <c r="F21" s="37" t="str">
        <f>IF(A21="","",COUNTIFS('Snapshot History'!$A$6:$A$1005,A21,'Snapshot History'!$N$6:$N$1005,"Appetite breach")+COUNTIFS('Snapshot History'!$A$6:$A$1005,A21,'Snapshot History'!$N$6:$N$1005,"Tolerance breach"))</f>
        <v/>
      </c>
      <c r="G21" s="37" t="str">
        <f>IF(A21="","",COUNTIFS('Snapshot History'!$A$6:$A$1005,A21,'Snapshot History'!$N$6:$N$1005,"Tolerance breach"))</f>
        <v/>
      </c>
      <c r="H21" s="37" t="str">
        <f>IF(A21="","",COUNTIFS('Snapshot History'!$A$6:$A$1005,A21,'Snapshot History'!$O$6:$O$1005,"Breach - not accepted"))</f>
        <v/>
      </c>
      <c r="I21" s="37" t="str">
        <f>IF(A21="","",COUNTIFS('Snapshot History'!$A$6:$A$1005,A21,'Snapshot History'!$O$6:$O$1005,"Breach - formally accepted"))</f>
        <v/>
      </c>
      <c r="J21" s="37" t="str">
        <f>IF(A21="","",COUNTIFS('Snapshot History'!$A$6:$A$1005,A21,'Snapshot History'!$O$6:$O$1005,"Acceptance expired - breach open")+COUNTIFS('Snapshot History'!$A$6:$A$1005,A21,'Snapshot History'!$O$6:$O$1005,"Accepted - expiry not set"))</f>
        <v/>
      </c>
      <c r="K21" s="37" t="str">
        <f>IF(A21="","",COUNTIFS('Snapshot History'!$A$6:$A$1005,A21,'Snapshot History'!$S$6:$S$1005,"Gap"))</f>
        <v/>
      </c>
      <c r="L21" s="37" t="str">
        <f>IF(A21="","",COUNTIFS('Snapshot History'!$A$6:$A$1005,A21,'Snapshot History'!$P$6:$P$1005,Methodology!$A$43)+COUNTIFS('Snapshot History'!$A$6:$A$1005,A21,'Snapshot History'!$P$6:$P$1005,Methodology!$A$44))</f>
        <v/>
      </c>
      <c r="M21" s="37" t="str">
        <f t="shared" si="0"/>
        <v/>
      </c>
      <c r="N21" s="36"/>
      <c r="O21" s="36"/>
      <c r="P21" s="36"/>
      <c r="Q21" s="37" t="str">
        <f>IF(A21="","",IF(OR(N21="",O21="",P21=""),"Control totals missing",IF(AND(N21=C21,O21=SUMIFS('Snapshot History'!$J$6:$J$1005,'Snapshot History'!$A$6:$A$1005,A21),P21=F21),"Reconciled","MISMATCH")))</f>
        <v/>
      </c>
    </row>
    <row r="22" spans="1:17" x14ac:dyDescent="0.35">
      <c r="A22" s="46"/>
      <c r="B22" s="37" t="str">
        <f>IF(A22="","",IFERROR(INDEX('Snapshot History'!$B$6:$B$1005,MATCH(A22,'Snapshot History'!$A$6:$A$1005,0)),""))</f>
        <v/>
      </c>
      <c r="C22" s="37" t="str">
        <f>IF(A22="","",COUNTIF('Snapshot History'!$A$6:$A$1005,A22))</f>
        <v/>
      </c>
      <c r="D22" s="48" t="str">
        <f>IF(A22="","",IFERROR(AVERAGEIF('Snapshot History'!$A$6:$A$1005,A22,'Snapshot History'!$J$6:$J$1005),""))</f>
        <v/>
      </c>
      <c r="E22" s="37" t="str">
        <f>IF(A22="","",COUNTIFS('Snapshot History'!$A$6:$A$1005,A22,'Snapshot History'!$K$6:$K$1005,Methodology!$B$28)+COUNTIFS('Snapshot History'!$A$6:$A$1005,A22,'Snapshot History'!$K$6:$K$1005,Methodology!$B$29))</f>
        <v/>
      </c>
      <c r="F22" s="37" t="str">
        <f>IF(A22="","",COUNTIFS('Snapshot History'!$A$6:$A$1005,A22,'Snapshot History'!$N$6:$N$1005,"Appetite breach")+COUNTIFS('Snapshot History'!$A$6:$A$1005,A22,'Snapshot History'!$N$6:$N$1005,"Tolerance breach"))</f>
        <v/>
      </c>
      <c r="G22" s="37" t="str">
        <f>IF(A22="","",COUNTIFS('Snapshot History'!$A$6:$A$1005,A22,'Snapshot History'!$N$6:$N$1005,"Tolerance breach"))</f>
        <v/>
      </c>
      <c r="H22" s="37" t="str">
        <f>IF(A22="","",COUNTIFS('Snapshot History'!$A$6:$A$1005,A22,'Snapshot History'!$O$6:$O$1005,"Breach - not accepted"))</f>
        <v/>
      </c>
      <c r="I22" s="37" t="str">
        <f>IF(A22="","",COUNTIFS('Snapshot History'!$A$6:$A$1005,A22,'Snapshot History'!$O$6:$O$1005,"Breach - formally accepted"))</f>
        <v/>
      </c>
      <c r="J22" s="37" t="str">
        <f>IF(A22="","",COUNTIFS('Snapshot History'!$A$6:$A$1005,A22,'Snapshot History'!$O$6:$O$1005,"Acceptance expired - breach open")+COUNTIFS('Snapshot History'!$A$6:$A$1005,A22,'Snapshot History'!$O$6:$O$1005,"Accepted - expiry not set"))</f>
        <v/>
      </c>
      <c r="K22" s="37" t="str">
        <f>IF(A22="","",COUNTIFS('Snapshot History'!$A$6:$A$1005,A22,'Snapshot History'!$S$6:$S$1005,"Gap"))</f>
        <v/>
      </c>
      <c r="L22" s="37" t="str">
        <f>IF(A22="","",COUNTIFS('Snapshot History'!$A$6:$A$1005,A22,'Snapshot History'!$P$6:$P$1005,Methodology!$A$43)+COUNTIFS('Snapshot History'!$A$6:$A$1005,A22,'Snapshot History'!$P$6:$P$1005,Methodology!$A$44))</f>
        <v/>
      </c>
      <c r="M22" s="37" t="str">
        <f t="shared" si="0"/>
        <v/>
      </c>
      <c r="N22" s="36"/>
      <c r="O22" s="36"/>
      <c r="P22" s="36"/>
      <c r="Q22" s="37" t="str">
        <f>IF(A22="","",IF(OR(N22="",O22="",P22=""),"Control totals missing",IF(AND(N22=C22,O22=SUMIFS('Snapshot History'!$J$6:$J$1005,'Snapshot History'!$A$6:$A$1005,A22),P22=F22),"Reconciled","MISMATCH")))</f>
        <v/>
      </c>
    </row>
    <row r="23" spans="1:17" x14ac:dyDescent="0.35">
      <c r="A23" s="46"/>
      <c r="B23" s="37" t="str">
        <f>IF(A23="","",IFERROR(INDEX('Snapshot History'!$B$6:$B$1005,MATCH(A23,'Snapshot History'!$A$6:$A$1005,0)),""))</f>
        <v/>
      </c>
      <c r="C23" s="37" t="str">
        <f>IF(A23="","",COUNTIF('Snapshot History'!$A$6:$A$1005,A23))</f>
        <v/>
      </c>
      <c r="D23" s="48" t="str">
        <f>IF(A23="","",IFERROR(AVERAGEIF('Snapshot History'!$A$6:$A$1005,A23,'Snapshot History'!$J$6:$J$1005),""))</f>
        <v/>
      </c>
      <c r="E23" s="37" t="str">
        <f>IF(A23="","",COUNTIFS('Snapshot History'!$A$6:$A$1005,A23,'Snapshot History'!$K$6:$K$1005,Methodology!$B$28)+COUNTIFS('Snapshot History'!$A$6:$A$1005,A23,'Snapshot History'!$K$6:$K$1005,Methodology!$B$29))</f>
        <v/>
      </c>
      <c r="F23" s="37" t="str">
        <f>IF(A23="","",COUNTIFS('Snapshot History'!$A$6:$A$1005,A23,'Snapshot History'!$N$6:$N$1005,"Appetite breach")+COUNTIFS('Snapshot History'!$A$6:$A$1005,A23,'Snapshot History'!$N$6:$N$1005,"Tolerance breach"))</f>
        <v/>
      </c>
      <c r="G23" s="37" t="str">
        <f>IF(A23="","",COUNTIFS('Snapshot History'!$A$6:$A$1005,A23,'Snapshot History'!$N$6:$N$1005,"Tolerance breach"))</f>
        <v/>
      </c>
      <c r="H23" s="37" t="str">
        <f>IF(A23="","",COUNTIFS('Snapshot History'!$A$6:$A$1005,A23,'Snapshot History'!$O$6:$O$1005,"Breach - not accepted"))</f>
        <v/>
      </c>
      <c r="I23" s="37" t="str">
        <f>IF(A23="","",COUNTIFS('Snapshot History'!$A$6:$A$1005,A23,'Snapshot History'!$O$6:$O$1005,"Breach - formally accepted"))</f>
        <v/>
      </c>
      <c r="J23" s="37" t="str">
        <f>IF(A23="","",COUNTIFS('Snapshot History'!$A$6:$A$1005,A23,'Snapshot History'!$O$6:$O$1005,"Acceptance expired - breach open")+COUNTIFS('Snapshot History'!$A$6:$A$1005,A23,'Snapshot History'!$O$6:$O$1005,"Accepted - expiry not set"))</f>
        <v/>
      </c>
      <c r="K23" s="37" t="str">
        <f>IF(A23="","",COUNTIFS('Snapshot History'!$A$6:$A$1005,A23,'Snapshot History'!$S$6:$S$1005,"Gap"))</f>
        <v/>
      </c>
      <c r="L23" s="37" t="str">
        <f>IF(A23="","",COUNTIFS('Snapshot History'!$A$6:$A$1005,A23,'Snapshot History'!$P$6:$P$1005,Methodology!$A$43)+COUNTIFS('Snapshot History'!$A$6:$A$1005,A23,'Snapshot History'!$P$6:$P$1005,Methodology!$A$44))</f>
        <v/>
      </c>
      <c r="M23" s="37" t="str">
        <f t="shared" si="0"/>
        <v/>
      </c>
      <c r="N23" s="36"/>
      <c r="O23" s="36"/>
      <c r="P23" s="36"/>
      <c r="Q23" s="37" t="str">
        <f>IF(A23="","",IF(OR(N23="",O23="",P23=""),"Control totals missing",IF(AND(N23=C23,O23=SUMIFS('Snapshot History'!$J$6:$J$1005,'Snapshot History'!$A$6:$A$1005,A23),P23=F23),"Reconciled","MISMATCH")))</f>
        <v/>
      </c>
    </row>
    <row r="24" spans="1:17" x14ac:dyDescent="0.35">
      <c r="A24" s="46"/>
      <c r="B24" s="37" t="str">
        <f>IF(A24="","",IFERROR(INDEX('Snapshot History'!$B$6:$B$1005,MATCH(A24,'Snapshot History'!$A$6:$A$1005,0)),""))</f>
        <v/>
      </c>
      <c r="C24" s="37" t="str">
        <f>IF(A24="","",COUNTIF('Snapshot History'!$A$6:$A$1005,A24))</f>
        <v/>
      </c>
      <c r="D24" s="48" t="str">
        <f>IF(A24="","",IFERROR(AVERAGEIF('Snapshot History'!$A$6:$A$1005,A24,'Snapshot History'!$J$6:$J$1005),""))</f>
        <v/>
      </c>
      <c r="E24" s="37" t="str">
        <f>IF(A24="","",COUNTIFS('Snapshot History'!$A$6:$A$1005,A24,'Snapshot History'!$K$6:$K$1005,Methodology!$B$28)+COUNTIFS('Snapshot History'!$A$6:$A$1005,A24,'Snapshot History'!$K$6:$K$1005,Methodology!$B$29))</f>
        <v/>
      </c>
      <c r="F24" s="37" t="str">
        <f>IF(A24="","",COUNTIFS('Snapshot History'!$A$6:$A$1005,A24,'Snapshot History'!$N$6:$N$1005,"Appetite breach")+COUNTIFS('Snapshot History'!$A$6:$A$1005,A24,'Snapshot History'!$N$6:$N$1005,"Tolerance breach"))</f>
        <v/>
      </c>
      <c r="G24" s="37" t="str">
        <f>IF(A24="","",COUNTIFS('Snapshot History'!$A$6:$A$1005,A24,'Snapshot History'!$N$6:$N$1005,"Tolerance breach"))</f>
        <v/>
      </c>
      <c r="H24" s="37" t="str">
        <f>IF(A24="","",COUNTIFS('Snapshot History'!$A$6:$A$1005,A24,'Snapshot History'!$O$6:$O$1005,"Breach - not accepted"))</f>
        <v/>
      </c>
      <c r="I24" s="37" t="str">
        <f>IF(A24="","",COUNTIFS('Snapshot History'!$A$6:$A$1005,A24,'Snapshot History'!$O$6:$O$1005,"Breach - formally accepted"))</f>
        <v/>
      </c>
      <c r="J24" s="37" t="str">
        <f>IF(A24="","",COUNTIFS('Snapshot History'!$A$6:$A$1005,A24,'Snapshot History'!$O$6:$O$1005,"Acceptance expired - breach open")+COUNTIFS('Snapshot History'!$A$6:$A$1005,A24,'Snapshot History'!$O$6:$O$1005,"Accepted - expiry not set"))</f>
        <v/>
      </c>
      <c r="K24" s="37" t="str">
        <f>IF(A24="","",COUNTIFS('Snapshot History'!$A$6:$A$1005,A24,'Snapshot History'!$S$6:$S$1005,"Gap"))</f>
        <v/>
      </c>
      <c r="L24" s="37" t="str">
        <f>IF(A24="","",COUNTIFS('Snapshot History'!$A$6:$A$1005,A24,'Snapshot History'!$P$6:$P$1005,Methodology!$A$43)+COUNTIFS('Snapshot History'!$A$6:$A$1005,A24,'Snapshot History'!$P$6:$P$1005,Methodology!$A$44))</f>
        <v/>
      </c>
      <c r="M24" s="37" t="str">
        <f t="shared" si="0"/>
        <v/>
      </c>
      <c r="N24" s="36"/>
      <c r="O24" s="36"/>
      <c r="P24" s="36"/>
      <c r="Q24" s="37" t="str">
        <f>IF(A24="","",IF(OR(N24="",O24="",P24=""),"Control totals missing",IF(AND(N24=C24,O24=SUMIFS('Snapshot History'!$J$6:$J$1005,'Snapshot History'!$A$6:$A$1005,A24),P24=F24),"Reconciled","MISMATCH")))</f>
        <v/>
      </c>
    </row>
    <row r="25" spans="1:17" x14ac:dyDescent="0.35">
      <c r="A25" s="46"/>
      <c r="B25" s="37" t="str">
        <f>IF(A25="","",IFERROR(INDEX('Snapshot History'!$B$6:$B$1005,MATCH(A25,'Snapshot History'!$A$6:$A$1005,0)),""))</f>
        <v/>
      </c>
      <c r="C25" s="37" t="str">
        <f>IF(A25="","",COUNTIF('Snapshot History'!$A$6:$A$1005,A25))</f>
        <v/>
      </c>
      <c r="D25" s="48" t="str">
        <f>IF(A25="","",IFERROR(AVERAGEIF('Snapshot History'!$A$6:$A$1005,A25,'Snapshot History'!$J$6:$J$1005),""))</f>
        <v/>
      </c>
      <c r="E25" s="37" t="str">
        <f>IF(A25="","",COUNTIFS('Snapshot History'!$A$6:$A$1005,A25,'Snapshot History'!$K$6:$K$1005,Methodology!$B$28)+COUNTIFS('Snapshot History'!$A$6:$A$1005,A25,'Snapshot History'!$K$6:$K$1005,Methodology!$B$29))</f>
        <v/>
      </c>
      <c r="F25" s="37" t="str">
        <f>IF(A25="","",COUNTIFS('Snapshot History'!$A$6:$A$1005,A25,'Snapshot History'!$N$6:$N$1005,"Appetite breach")+COUNTIFS('Snapshot History'!$A$6:$A$1005,A25,'Snapshot History'!$N$6:$N$1005,"Tolerance breach"))</f>
        <v/>
      </c>
      <c r="G25" s="37" t="str">
        <f>IF(A25="","",COUNTIFS('Snapshot History'!$A$6:$A$1005,A25,'Snapshot History'!$N$6:$N$1005,"Tolerance breach"))</f>
        <v/>
      </c>
      <c r="H25" s="37" t="str">
        <f>IF(A25="","",COUNTIFS('Snapshot History'!$A$6:$A$1005,A25,'Snapshot History'!$O$6:$O$1005,"Breach - not accepted"))</f>
        <v/>
      </c>
      <c r="I25" s="37" t="str">
        <f>IF(A25="","",COUNTIFS('Snapshot History'!$A$6:$A$1005,A25,'Snapshot History'!$O$6:$O$1005,"Breach - formally accepted"))</f>
        <v/>
      </c>
      <c r="J25" s="37" t="str">
        <f>IF(A25="","",COUNTIFS('Snapshot History'!$A$6:$A$1005,A25,'Snapshot History'!$O$6:$O$1005,"Acceptance expired - breach open")+COUNTIFS('Snapshot History'!$A$6:$A$1005,A25,'Snapshot History'!$O$6:$O$1005,"Accepted - expiry not set"))</f>
        <v/>
      </c>
      <c r="K25" s="37" t="str">
        <f>IF(A25="","",COUNTIFS('Snapshot History'!$A$6:$A$1005,A25,'Snapshot History'!$S$6:$S$1005,"Gap"))</f>
        <v/>
      </c>
      <c r="L25" s="37" t="str">
        <f>IF(A25="","",COUNTIFS('Snapshot History'!$A$6:$A$1005,A25,'Snapshot History'!$P$6:$P$1005,Methodology!$A$43)+COUNTIFS('Snapshot History'!$A$6:$A$1005,A25,'Snapshot History'!$P$6:$P$1005,Methodology!$A$44))</f>
        <v/>
      </c>
      <c r="M25" s="37" t="str">
        <f t="shared" si="0"/>
        <v/>
      </c>
      <c r="N25" s="36"/>
      <c r="O25" s="36"/>
      <c r="P25" s="36"/>
      <c r="Q25" s="37" t="str">
        <f>IF(A25="","",IF(OR(N25="",O25="",P25=""),"Control totals missing",IF(AND(N25=C25,O25=SUMIFS('Snapshot History'!$J$6:$J$1005,'Snapshot History'!$A$6:$A$1005,A25),P25=F25),"Reconciled","MISMATCH")))</f>
        <v/>
      </c>
    </row>
    <row r="26" spans="1:17" x14ac:dyDescent="0.35">
      <c r="A26" s="46"/>
      <c r="B26" s="37" t="str">
        <f>IF(A26="","",IFERROR(INDEX('Snapshot History'!$B$6:$B$1005,MATCH(A26,'Snapshot History'!$A$6:$A$1005,0)),""))</f>
        <v/>
      </c>
      <c r="C26" s="37" t="str">
        <f>IF(A26="","",COUNTIF('Snapshot History'!$A$6:$A$1005,A26))</f>
        <v/>
      </c>
      <c r="D26" s="48" t="str">
        <f>IF(A26="","",IFERROR(AVERAGEIF('Snapshot History'!$A$6:$A$1005,A26,'Snapshot History'!$J$6:$J$1005),""))</f>
        <v/>
      </c>
      <c r="E26" s="37" t="str">
        <f>IF(A26="","",COUNTIFS('Snapshot History'!$A$6:$A$1005,A26,'Snapshot History'!$K$6:$K$1005,Methodology!$B$28)+COUNTIFS('Snapshot History'!$A$6:$A$1005,A26,'Snapshot History'!$K$6:$K$1005,Methodology!$B$29))</f>
        <v/>
      </c>
      <c r="F26" s="37" t="str">
        <f>IF(A26="","",COUNTIFS('Snapshot History'!$A$6:$A$1005,A26,'Snapshot History'!$N$6:$N$1005,"Appetite breach")+COUNTIFS('Snapshot History'!$A$6:$A$1005,A26,'Snapshot History'!$N$6:$N$1005,"Tolerance breach"))</f>
        <v/>
      </c>
      <c r="G26" s="37" t="str">
        <f>IF(A26="","",COUNTIFS('Snapshot History'!$A$6:$A$1005,A26,'Snapshot History'!$N$6:$N$1005,"Tolerance breach"))</f>
        <v/>
      </c>
      <c r="H26" s="37" t="str">
        <f>IF(A26="","",COUNTIFS('Snapshot History'!$A$6:$A$1005,A26,'Snapshot History'!$O$6:$O$1005,"Breach - not accepted"))</f>
        <v/>
      </c>
      <c r="I26" s="37" t="str">
        <f>IF(A26="","",COUNTIFS('Snapshot History'!$A$6:$A$1005,A26,'Snapshot History'!$O$6:$O$1005,"Breach - formally accepted"))</f>
        <v/>
      </c>
      <c r="J26" s="37" t="str">
        <f>IF(A26="","",COUNTIFS('Snapshot History'!$A$6:$A$1005,A26,'Snapshot History'!$O$6:$O$1005,"Acceptance expired - breach open")+COUNTIFS('Snapshot History'!$A$6:$A$1005,A26,'Snapshot History'!$O$6:$O$1005,"Accepted - expiry not set"))</f>
        <v/>
      </c>
      <c r="K26" s="37" t="str">
        <f>IF(A26="","",COUNTIFS('Snapshot History'!$A$6:$A$1005,A26,'Snapshot History'!$S$6:$S$1005,"Gap"))</f>
        <v/>
      </c>
      <c r="L26" s="37" t="str">
        <f>IF(A26="","",COUNTIFS('Snapshot History'!$A$6:$A$1005,A26,'Snapshot History'!$P$6:$P$1005,Methodology!$A$43)+COUNTIFS('Snapshot History'!$A$6:$A$1005,A26,'Snapshot History'!$P$6:$P$1005,Methodology!$A$44))</f>
        <v/>
      </c>
      <c r="M26" s="37" t="str">
        <f t="shared" si="0"/>
        <v/>
      </c>
      <c r="N26" s="36"/>
      <c r="O26" s="36"/>
      <c r="P26" s="36"/>
      <c r="Q26" s="37" t="str">
        <f>IF(A26="","",IF(OR(N26="",O26="",P26=""),"Control totals missing",IF(AND(N26=C26,O26=SUMIFS('Snapshot History'!$J$6:$J$1005,'Snapshot History'!$A$6:$A$1005,A26),P26=F26),"Reconciled","MISMATCH")))</f>
        <v/>
      </c>
    </row>
    <row r="27" spans="1:17" x14ac:dyDescent="0.35">
      <c r="A27" s="46"/>
      <c r="B27" s="37" t="str">
        <f>IF(A27="","",IFERROR(INDEX('Snapshot History'!$B$6:$B$1005,MATCH(A27,'Snapshot History'!$A$6:$A$1005,0)),""))</f>
        <v/>
      </c>
      <c r="C27" s="37" t="str">
        <f>IF(A27="","",COUNTIF('Snapshot History'!$A$6:$A$1005,A27))</f>
        <v/>
      </c>
      <c r="D27" s="48" t="str">
        <f>IF(A27="","",IFERROR(AVERAGEIF('Snapshot History'!$A$6:$A$1005,A27,'Snapshot History'!$J$6:$J$1005),""))</f>
        <v/>
      </c>
      <c r="E27" s="37" t="str">
        <f>IF(A27="","",COUNTIFS('Snapshot History'!$A$6:$A$1005,A27,'Snapshot History'!$K$6:$K$1005,Methodology!$B$28)+COUNTIFS('Snapshot History'!$A$6:$A$1005,A27,'Snapshot History'!$K$6:$K$1005,Methodology!$B$29))</f>
        <v/>
      </c>
      <c r="F27" s="37" t="str">
        <f>IF(A27="","",COUNTIFS('Snapshot History'!$A$6:$A$1005,A27,'Snapshot History'!$N$6:$N$1005,"Appetite breach")+COUNTIFS('Snapshot History'!$A$6:$A$1005,A27,'Snapshot History'!$N$6:$N$1005,"Tolerance breach"))</f>
        <v/>
      </c>
      <c r="G27" s="37" t="str">
        <f>IF(A27="","",COUNTIFS('Snapshot History'!$A$6:$A$1005,A27,'Snapshot History'!$N$6:$N$1005,"Tolerance breach"))</f>
        <v/>
      </c>
      <c r="H27" s="37" t="str">
        <f>IF(A27="","",COUNTIFS('Snapshot History'!$A$6:$A$1005,A27,'Snapshot History'!$O$6:$O$1005,"Breach - not accepted"))</f>
        <v/>
      </c>
      <c r="I27" s="37" t="str">
        <f>IF(A27="","",COUNTIFS('Snapshot History'!$A$6:$A$1005,A27,'Snapshot History'!$O$6:$O$1005,"Breach - formally accepted"))</f>
        <v/>
      </c>
      <c r="J27" s="37" t="str">
        <f>IF(A27="","",COUNTIFS('Snapshot History'!$A$6:$A$1005,A27,'Snapshot History'!$O$6:$O$1005,"Acceptance expired - breach open")+COUNTIFS('Snapshot History'!$A$6:$A$1005,A27,'Snapshot History'!$O$6:$O$1005,"Accepted - expiry not set"))</f>
        <v/>
      </c>
      <c r="K27" s="37" t="str">
        <f>IF(A27="","",COUNTIFS('Snapshot History'!$A$6:$A$1005,A27,'Snapshot History'!$S$6:$S$1005,"Gap"))</f>
        <v/>
      </c>
      <c r="L27" s="37" t="str">
        <f>IF(A27="","",COUNTIFS('Snapshot History'!$A$6:$A$1005,A27,'Snapshot History'!$P$6:$P$1005,Methodology!$A$43)+COUNTIFS('Snapshot History'!$A$6:$A$1005,A27,'Snapshot History'!$P$6:$P$1005,Methodology!$A$44))</f>
        <v/>
      </c>
      <c r="M27" s="37" t="str">
        <f t="shared" si="0"/>
        <v/>
      </c>
      <c r="N27" s="36"/>
      <c r="O27" s="36"/>
      <c r="P27" s="36"/>
      <c r="Q27" s="37" t="str">
        <f>IF(A27="","",IF(OR(N27="",O27="",P27=""),"Control totals missing",IF(AND(N27=C27,O27=SUMIFS('Snapshot History'!$J$6:$J$1005,'Snapshot History'!$A$6:$A$1005,A27),P27=F27),"Reconciled","MISMATCH")))</f>
        <v/>
      </c>
    </row>
    <row r="28" spans="1:17" x14ac:dyDescent="0.35">
      <c r="A28" s="46"/>
      <c r="B28" s="37" t="str">
        <f>IF(A28="","",IFERROR(INDEX('Snapshot History'!$B$6:$B$1005,MATCH(A28,'Snapshot History'!$A$6:$A$1005,0)),""))</f>
        <v/>
      </c>
      <c r="C28" s="37" t="str">
        <f>IF(A28="","",COUNTIF('Snapshot History'!$A$6:$A$1005,A28))</f>
        <v/>
      </c>
      <c r="D28" s="48" t="str">
        <f>IF(A28="","",IFERROR(AVERAGEIF('Snapshot History'!$A$6:$A$1005,A28,'Snapshot History'!$J$6:$J$1005),""))</f>
        <v/>
      </c>
      <c r="E28" s="37" t="str">
        <f>IF(A28="","",COUNTIFS('Snapshot History'!$A$6:$A$1005,A28,'Snapshot History'!$K$6:$K$1005,Methodology!$B$28)+COUNTIFS('Snapshot History'!$A$6:$A$1005,A28,'Snapshot History'!$K$6:$K$1005,Methodology!$B$29))</f>
        <v/>
      </c>
      <c r="F28" s="37" t="str">
        <f>IF(A28="","",COUNTIFS('Snapshot History'!$A$6:$A$1005,A28,'Snapshot History'!$N$6:$N$1005,"Appetite breach")+COUNTIFS('Snapshot History'!$A$6:$A$1005,A28,'Snapshot History'!$N$6:$N$1005,"Tolerance breach"))</f>
        <v/>
      </c>
      <c r="G28" s="37" t="str">
        <f>IF(A28="","",COUNTIFS('Snapshot History'!$A$6:$A$1005,A28,'Snapshot History'!$N$6:$N$1005,"Tolerance breach"))</f>
        <v/>
      </c>
      <c r="H28" s="37" t="str">
        <f>IF(A28="","",COUNTIFS('Snapshot History'!$A$6:$A$1005,A28,'Snapshot History'!$O$6:$O$1005,"Breach - not accepted"))</f>
        <v/>
      </c>
      <c r="I28" s="37" t="str">
        <f>IF(A28="","",COUNTIFS('Snapshot History'!$A$6:$A$1005,A28,'Snapshot History'!$O$6:$O$1005,"Breach - formally accepted"))</f>
        <v/>
      </c>
      <c r="J28" s="37" t="str">
        <f>IF(A28="","",COUNTIFS('Snapshot History'!$A$6:$A$1005,A28,'Snapshot History'!$O$6:$O$1005,"Acceptance expired - breach open")+COUNTIFS('Snapshot History'!$A$6:$A$1005,A28,'Snapshot History'!$O$6:$O$1005,"Accepted - expiry not set"))</f>
        <v/>
      </c>
      <c r="K28" s="37" t="str">
        <f>IF(A28="","",COUNTIFS('Snapshot History'!$A$6:$A$1005,A28,'Snapshot History'!$S$6:$S$1005,"Gap"))</f>
        <v/>
      </c>
      <c r="L28" s="37" t="str">
        <f>IF(A28="","",COUNTIFS('Snapshot History'!$A$6:$A$1005,A28,'Snapshot History'!$P$6:$P$1005,Methodology!$A$43)+COUNTIFS('Snapshot History'!$A$6:$A$1005,A28,'Snapshot History'!$P$6:$P$1005,Methodology!$A$44))</f>
        <v/>
      </c>
      <c r="M28" s="37" t="str">
        <f t="shared" si="0"/>
        <v/>
      </c>
      <c r="N28" s="36"/>
      <c r="O28" s="36"/>
      <c r="P28" s="36"/>
      <c r="Q28" s="37" t="str">
        <f>IF(A28="","",IF(OR(N28="",O28="",P28=""),"Control totals missing",IF(AND(N28=C28,O28=SUMIFS('Snapshot History'!$J$6:$J$1005,'Snapshot History'!$A$6:$A$1005,A28),P28=F28),"Reconciled","MISMATCH")))</f>
        <v/>
      </c>
    </row>
    <row r="29" spans="1:17" x14ac:dyDescent="0.35">
      <c r="A29" s="46"/>
      <c r="B29" s="37" t="str">
        <f>IF(A29="","",IFERROR(INDEX('Snapshot History'!$B$6:$B$1005,MATCH(A29,'Snapshot History'!$A$6:$A$1005,0)),""))</f>
        <v/>
      </c>
      <c r="C29" s="37" t="str">
        <f>IF(A29="","",COUNTIF('Snapshot History'!$A$6:$A$1005,A29))</f>
        <v/>
      </c>
      <c r="D29" s="48" t="str">
        <f>IF(A29="","",IFERROR(AVERAGEIF('Snapshot History'!$A$6:$A$1005,A29,'Snapshot History'!$J$6:$J$1005),""))</f>
        <v/>
      </c>
      <c r="E29" s="37" t="str">
        <f>IF(A29="","",COUNTIFS('Snapshot History'!$A$6:$A$1005,A29,'Snapshot History'!$K$6:$K$1005,Methodology!$B$28)+COUNTIFS('Snapshot History'!$A$6:$A$1005,A29,'Snapshot History'!$K$6:$K$1005,Methodology!$B$29))</f>
        <v/>
      </c>
      <c r="F29" s="37" t="str">
        <f>IF(A29="","",COUNTIFS('Snapshot History'!$A$6:$A$1005,A29,'Snapshot History'!$N$6:$N$1005,"Appetite breach")+COUNTIFS('Snapshot History'!$A$6:$A$1005,A29,'Snapshot History'!$N$6:$N$1005,"Tolerance breach"))</f>
        <v/>
      </c>
      <c r="G29" s="37" t="str">
        <f>IF(A29="","",COUNTIFS('Snapshot History'!$A$6:$A$1005,A29,'Snapshot History'!$N$6:$N$1005,"Tolerance breach"))</f>
        <v/>
      </c>
      <c r="H29" s="37" t="str">
        <f>IF(A29="","",COUNTIFS('Snapshot History'!$A$6:$A$1005,A29,'Snapshot History'!$O$6:$O$1005,"Breach - not accepted"))</f>
        <v/>
      </c>
      <c r="I29" s="37" t="str">
        <f>IF(A29="","",COUNTIFS('Snapshot History'!$A$6:$A$1005,A29,'Snapshot History'!$O$6:$O$1005,"Breach - formally accepted"))</f>
        <v/>
      </c>
      <c r="J29" s="37" t="str">
        <f>IF(A29="","",COUNTIFS('Snapshot History'!$A$6:$A$1005,A29,'Snapshot History'!$O$6:$O$1005,"Acceptance expired - breach open")+COUNTIFS('Snapshot History'!$A$6:$A$1005,A29,'Snapshot History'!$O$6:$O$1005,"Accepted - expiry not set"))</f>
        <v/>
      </c>
      <c r="K29" s="37" t="str">
        <f>IF(A29="","",COUNTIFS('Snapshot History'!$A$6:$A$1005,A29,'Snapshot History'!$S$6:$S$1005,"Gap"))</f>
        <v/>
      </c>
      <c r="L29" s="37" t="str">
        <f>IF(A29="","",COUNTIFS('Snapshot History'!$A$6:$A$1005,A29,'Snapshot History'!$P$6:$P$1005,Methodology!$A$43)+COUNTIFS('Snapshot History'!$A$6:$A$1005,A29,'Snapshot History'!$P$6:$P$1005,Methodology!$A$44))</f>
        <v/>
      </c>
      <c r="M29" s="37" t="str">
        <f t="shared" si="0"/>
        <v/>
      </c>
      <c r="N29" s="36"/>
      <c r="O29" s="36"/>
      <c r="P29" s="36"/>
      <c r="Q29" s="37" t="str">
        <f>IF(A29="","",IF(OR(N29="",O29="",P29=""),"Control totals missing",IF(AND(N29=C29,O29=SUMIFS('Snapshot History'!$J$6:$J$1005,'Snapshot History'!$A$6:$A$1005,A29),P29=F29),"Reconciled","MISMATCH")))</f>
        <v/>
      </c>
    </row>
    <row r="30" spans="1:17" x14ac:dyDescent="0.35">
      <c r="A30" s="46"/>
      <c r="B30" s="37" t="str">
        <f>IF(A30="","",IFERROR(INDEX('Snapshot History'!$B$6:$B$1005,MATCH(A30,'Snapshot History'!$A$6:$A$1005,0)),""))</f>
        <v/>
      </c>
      <c r="C30" s="37" t="str">
        <f>IF(A30="","",COUNTIF('Snapshot History'!$A$6:$A$1005,A30))</f>
        <v/>
      </c>
      <c r="D30" s="48" t="str">
        <f>IF(A30="","",IFERROR(AVERAGEIF('Snapshot History'!$A$6:$A$1005,A30,'Snapshot History'!$J$6:$J$1005),""))</f>
        <v/>
      </c>
      <c r="E30" s="37" t="str">
        <f>IF(A30="","",COUNTIFS('Snapshot History'!$A$6:$A$1005,A30,'Snapshot History'!$K$6:$K$1005,Methodology!$B$28)+COUNTIFS('Snapshot History'!$A$6:$A$1005,A30,'Snapshot History'!$K$6:$K$1005,Methodology!$B$29))</f>
        <v/>
      </c>
      <c r="F30" s="37" t="str">
        <f>IF(A30="","",COUNTIFS('Snapshot History'!$A$6:$A$1005,A30,'Snapshot History'!$N$6:$N$1005,"Appetite breach")+COUNTIFS('Snapshot History'!$A$6:$A$1005,A30,'Snapshot History'!$N$6:$N$1005,"Tolerance breach"))</f>
        <v/>
      </c>
      <c r="G30" s="37" t="str">
        <f>IF(A30="","",COUNTIFS('Snapshot History'!$A$6:$A$1005,A30,'Snapshot History'!$N$6:$N$1005,"Tolerance breach"))</f>
        <v/>
      </c>
      <c r="H30" s="37" t="str">
        <f>IF(A30="","",COUNTIFS('Snapshot History'!$A$6:$A$1005,A30,'Snapshot History'!$O$6:$O$1005,"Breach - not accepted"))</f>
        <v/>
      </c>
      <c r="I30" s="37" t="str">
        <f>IF(A30="","",COUNTIFS('Snapshot History'!$A$6:$A$1005,A30,'Snapshot History'!$O$6:$O$1005,"Breach - formally accepted"))</f>
        <v/>
      </c>
      <c r="J30" s="37" t="str">
        <f>IF(A30="","",COUNTIFS('Snapshot History'!$A$6:$A$1005,A30,'Snapshot History'!$O$6:$O$1005,"Acceptance expired - breach open")+COUNTIFS('Snapshot History'!$A$6:$A$1005,A30,'Snapshot History'!$O$6:$O$1005,"Accepted - expiry not set"))</f>
        <v/>
      </c>
      <c r="K30" s="37" t="str">
        <f>IF(A30="","",COUNTIFS('Snapshot History'!$A$6:$A$1005,A30,'Snapshot History'!$S$6:$S$1005,"Gap"))</f>
        <v/>
      </c>
      <c r="L30" s="37" t="str">
        <f>IF(A30="","",COUNTIFS('Snapshot History'!$A$6:$A$1005,A30,'Snapshot History'!$P$6:$P$1005,Methodology!$A$43)+COUNTIFS('Snapshot History'!$A$6:$A$1005,A30,'Snapshot History'!$P$6:$P$1005,Methodology!$A$44))</f>
        <v/>
      </c>
      <c r="M30" s="37" t="str">
        <f t="shared" si="0"/>
        <v/>
      </c>
      <c r="N30" s="36"/>
      <c r="O30" s="36"/>
      <c r="P30" s="36"/>
      <c r="Q30" s="37" t="str">
        <f>IF(A30="","",IF(OR(N30="",O30="",P30=""),"Control totals missing",IF(AND(N30=C30,O30=SUMIFS('Snapshot History'!$J$6:$J$1005,'Snapshot History'!$A$6:$A$1005,A30),P30=F30),"Reconciled","MISMATCH")))</f>
        <v/>
      </c>
    </row>
    <row r="33" spans="1:15" ht="15.5" x14ac:dyDescent="0.35">
      <c r="A33" s="5" t="s">
        <v>683</v>
      </c>
    </row>
    <row r="35" spans="1:15" ht="43.5" customHeight="1" x14ac:dyDescent="0.35">
      <c r="A35" s="16" t="s">
        <v>224</v>
      </c>
      <c r="B35" s="16" t="s">
        <v>225</v>
      </c>
      <c r="C35" s="16" t="s">
        <v>684</v>
      </c>
      <c r="D35" s="16" t="s">
        <v>685</v>
      </c>
      <c r="E35" s="16" t="s">
        <v>686</v>
      </c>
      <c r="F35" s="16" t="s">
        <v>687</v>
      </c>
      <c r="G35" s="16" t="s">
        <v>354</v>
      </c>
      <c r="H35" s="16" t="s">
        <v>688</v>
      </c>
      <c r="I35" s="16" t="s">
        <v>689</v>
      </c>
      <c r="J35" s="16" t="s">
        <v>690</v>
      </c>
      <c r="K35" s="16" t="s">
        <v>691</v>
      </c>
      <c r="L35" s="16" t="s">
        <v>692</v>
      </c>
      <c r="M35" s="16" t="s">
        <v>693</v>
      </c>
      <c r="N35" s="16" t="s">
        <v>694</v>
      </c>
      <c r="O35" s="16" t="s">
        <v>695</v>
      </c>
    </row>
    <row r="36" spans="1:15" ht="25" x14ac:dyDescent="0.35">
      <c r="A36" s="38" t="str">
        <f>IF('Risk Register'!A6="","",'Risk Register'!A6)</f>
        <v>R-001</v>
      </c>
      <c r="B36" s="44" t="str">
        <f>IF(A36="","",'Risk Register'!B6)</f>
        <v>Ransomware on production</v>
      </c>
      <c r="C36" s="37">
        <f>IF(A36="","",IFERROR(INDEX('Snapshot History'!$J$6:$J$1005,MATCH(INT($B$5)&amp;"|"&amp;$A36,'Snapshot History'!$W$6:$W$1005,0)),""))</f>
        <v>20</v>
      </c>
      <c r="D36" s="37">
        <f>IF(A36="","",IFERROR(INDEX('Snapshot History'!$J$6:$J$1005,MATCH(INT($B$4)&amp;"|"&amp;$A36,'Snapshot History'!$W$6:$W$1005,0)),""))</f>
        <v>15</v>
      </c>
      <c r="E36" s="37">
        <f t="shared" ref="E36:E67" si="1">IF(OR(C36="",D36=""),"",D36-C36)</f>
        <v>-5</v>
      </c>
      <c r="F36" s="38" t="str">
        <f>IF(A36="","",IFERROR(INDEX('Snapshot History'!$N$6:$N$1005,MATCH(INT($B$5)&amp;"|"&amp;$A36,'Snapshot History'!$W$6:$W$1005,0)),""))</f>
        <v>Tolerance breach</v>
      </c>
      <c r="G36" s="38" t="str">
        <f>IF(A36="","",IFERROR(INDEX('Snapshot History'!$N$6:$N$1005,MATCH(INT($B$4)&amp;"|"&amp;$A36,'Snapshot History'!$W$6:$W$1005,0)),""))</f>
        <v>Tolerance breach</v>
      </c>
      <c r="H36" s="38" t="str">
        <f>IF(A36="","",IFERROR(INDEX('Snapshot History'!$O$6:$O$1005,MATCH(INT($B$5)&amp;"|"&amp;$A36,'Snapshot History'!$W$6:$W$1005,0)),""))</f>
        <v>Breach - not accepted</v>
      </c>
      <c r="I36" s="38" t="str">
        <f>IF(A36="","",IFERROR(INDEX('Snapshot History'!$O$6:$O$1005,MATCH(INT($B$4)&amp;"|"&amp;$A36,'Snapshot History'!$W$6:$W$1005,0)),""))</f>
        <v>Breach - not accepted</v>
      </c>
      <c r="J36" s="37" t="str">
        <f t="shared" ref="J36:J67" si="2">IF(A36="","",IF(AND(C36="",D36=""),"Not in either snapshot",IF(C36="","New in current",IF(D36="","Not in current",IF(E36&gt;0,"Worsened",IF(E36&lt;0,"Improved",IF(OR(F36&lt;&gt;G36,H36&lt;&gt;I36),"Status changed","Unchanged")))))))</f>
        <v>Improved</v>
      </c>
      <c r="K36" s="37" t="str">
        <f>IF(A36="","",IFERROR(INDEX('Snapshot History'!$U$6:$U$1005,MATCH(INT($B$5)&amp;"|"&amp;$A36,'Snapshot History'!$W$6:$W$1005,0)),""))</f>
        <v>v1.0</v>
      </c>
      <c r="L36" s="37" t="str">
        <f>IF(A36="","",IFERROR(INDEX('Snapshot History'!$U$6:$U$1005,MATCH(INT($B$4)&amp;"|"&amp;$A36,'Snapshot History'!$W$6:$W$1005,0)),""))</f>
        <v>v1.0</v>
      </c>
      <c r="M36" s="44" t="str">
        <f>IF(A36="","",IFERROR(INDEX('Snapshot History'!$V$6:$V$1005,MATCH(INT($B$5)&amp;"|"&amp;$A36,'Snapshot History'!$W$6:$W$1005,0)),""))</f>
        <v>Assessed (evidence-supported)</v>
      </c>
      <c r="N36" s="44" t="str">
        <f>IF(A36="","",IFERROR(INDEX('Snapshot History'!$V$6:$V$1005,MATCH(INT($B$4)&amp;"|"&amp;$A36,'Snapshot History'!$W$6:$W$1005,0)),""))</f>
        <v>Assessed (evidence-supported)</v>
      </c>
      <c r="O36" s="37" t="str">
        <f t="shared" ref="O36:O67" si="3">IF(A36="","",IF(OR(C36="",D36=""),"Not comparable (composition)",IF(K36&lt;&gt;L36,"Appetite version changed",IF(M36&lt;&gt;N36,"Assessment basis changed","Like-for-like"))))</f>
        <v>Like-for-like</v>
      </c>
    </row>
    <row r="37" spans="1:15" ht="25" x14ac:dyDescent="0.35">
      <c r="A37" s="38" t="str">
        <f>IF('Risk Register'!A7="","",'Risk Register'!A7)</f>
        <v>R-002</v>
      </c>
      <c r="B37" s="44" t="str">
        <f>IF(A37="","",'Risk Register'!B7)</f>
        <v>SaaS provider data breach</v>
      </c>
      <c r="C37" s="37">
        <f>IF(A37="","",IFERROR(INDEX('Snapshot History'!$J$6:$J$1005,MATCH(INT($B$5)&amp;"|"&amp;$A37,'Snapshot History'!$W$6:$W$1005,0)),""))</f>
        <v>12</v>
      </c>
      <c r="D37" s="37">
        <f>IF(A37="","",IFERROR(INDEX('Snapshot History'!$J$6:$J$1005,MATCH(INT($B$4)&amp;"|"&amp;$A37,'Snapshot History'!$W$6:$W$1005,0)),""))</f>
        <v>16</v>
      </c>
      <c r="E37" s="37">
        <f t="shared" si="1"/>
        <v>4</v>
      </c>
      <c r="F37" s="38" t="str">
        <f>IF(A37="","",IFERROR(INDEX('Snapshot History'!$N$6:$N$1005,MATCH(INT($B$5)&amp;"|"&amp;$A37,'Snapshot History'!$W$6:$W$1005,0)),""))</f>
        <v>Appetite breach</v>
      </c>
      <c r="G37" s="38" t="str">
        <f>IF(A37="","",IFERROR(INDEX('Snapshot History'!$N$6:$N$1005,MATCH(INT($B$4)&amp;"|"&amp;$A37,'Snapshot History'!$W$6:$W$1005,0)),""))</f>
        <v>Tolerance breach</v>
      </c>
      <c r="H37" s="38" t="str">
        <f>IF(A37="","",IFERROR(INDEX('Snapshot History'!$O$6:$O$1005,MATCH(INT($B$5)&amp;"|"&amp;$A37,'Snapshot History'!$W$6:$W$1005,0)),""))</f>
        <v>Breach - formally accepted</v>
      </c>
      <c r="I37" s="38" t="str">
        <f>IF(A37="","",IFERROR(INDEX('Snapshot History'!$O$6:$O$1005,MATCH(INT($B$4)&amp;"|"&amp;$A37,'Snapshot History'!$W$6:$W$1005,0)),""))</f>
        <v>Breach - formally accepted</v>
      </c>
      <c r="J37" s="37" t="str">
        <f t="shared" si="2"/>
        <v>Worsened</v>
      </c>
      <c r="K37" s="37" t="str">
        <f>IF(A37="","",IFERROR(INDEX('Snapshot History'!$U$6:$U$1005,MATCH(INT($B$5)&amp;"|"&amp;$A37,'Snapshot History'!$W$6:$W$1005,0)),""))</f>
        <v>v1.0</v>
      </c>
      <c r="L37" s="37" t="str">
        <f>IF(A37="","",IFERROR(INDEX('Snapshot History'!$U$6:$U$1005,MATCH(INT($B$4)&amp;"|"&amp;$A37,'Snapshot History'!$W$6:$W$1005,0)),""))</f>
        <v>v1.0</v>
      </c>
      <c r="M37" s="44" t="str">
        <f>IF(A37="","",IFERROR(INDEX('Snapshot History'!$V$6:$V$1005,MATCH(INT($B$5)&amp;"|"&amp;$A37,'Snapshot History'!$W$6:$W$1005,0)),""))</f>
        <v>Assessed (evidence-supported)</v>
      </c>
      <c r="N37" s="44" t="str">
        <f>IF(A37="","",IFERROR(INDEX('Snapshot History'!$V$6:$V$1005,MATCH(INT($B$4)&amp;"|"&amp;$A37,'Snapshot History'!$W$6:$W$1005,0)),""))</f>
        <v>Assessed (evidence-supported)</v>
      </c>
      <c r="O37" s="37" t="str">
        <f t="shared" si="3"/>
        <v>Like-for-like</v>
      </c>
    </row>
    <row r="38" spans="1:15" ht="25" x14ac:dyDescent="0.35">
      <c r="A38" s="38" t="str">
        <f>IF('Risk Register'!A8="","",'Risk Register'!A8)</f>
        <v>R-003</v>
      </c>
      <c r="B38" s="44" t="str">
        <f>IF(A38="","",'Risk Register'!B8)</f>
        <v>Sensitive data pasted into AI tools</v>
      </c>
      <c r="C38" s="37" t="str">
        <f>IF(A38="","",IFERROR(INDEX('Snapshot History'!$J$6:$J$1005,MATCH(INT($B$5)&amp;"|"&amp;$A38,'Snapshot History'!$W$6:$W$1005,0)),""))</f>
        <v/>
      </c>
      <c r="D38" s="37">
        <f>IF(A38="","",IFERROR(INDEX('Snapshot History'!$J$6:$J$1005,MATCH(INT($B$4)&amp;"|"&amp;$A38,'Snapshot History'!$W$6:$W$1005,0)),""))</f>
        <v>9</v>
      </c>
      <c r="E38" s="37" t="str">
        <f t="shared" si="1"/>
        <v/>
      </c>
      <c r="F38" s="38" t="str">
        <f>IF(A38="","",IFERROR(INDEX('Snapshot History'!$N$6:$N$1005,MATCH(INT($B$5)&amp;"|"&amp;$A38,'Snapshot History'!$W$6:$W$1005,0)),""))</f>
        <v/>
      </c>
      <c r="G38" s="38" t="str">
        <f>IF(A38="","",IFERROR(INDEX('Snapshot History'!$N$6:$N$1005,MATCH(INT($B$4)&amp;"|"&amp;$A38,'Snapshot History'!$W$6:$W$1005,0)),""))</f>
        <v>Appetite breach</v>
      </c>
      <c r="H38" s="38" t="str">
        <f>IF(A38="","",IFERROR(INDEX('Snapshot History'!$O$6:$O$1005,MATCH(INT($B$5)&amp;"|"&amp;$A38,'Snapshot History'!$W$6:$W$1005,0)),""))</f>
        <v/>
      </c>
      <c r="I38" s="38" t="str">
        <f>IF(A38="","",IFERROR(INDEX('Snapshot History'!$O$6:$O$1005,MATCH(INT($B$4)&amp;"|"&amp;$A38,'Snapshot History'!$W$6:$W$1005,0)),""))</f>
        <v>Breach - formally accepted</v>
      </c>
      <c r="J38" s="37" t="str">
        <f t="shared" si="2"/>
        <v>New in current</v>
      </c>
      <c r="K38" s="37" t="str">
        <f>IF(A38="","",IFERROR(INDEX('Snapshot History'!$U$6:$U$1005,MATCH(INT($B$5)&amp;"|"&amp;$A38,'Snapshot History'!$W$6:$W$1005,0)),""))</f>
        <v/>
      </c>
      <c r="L38" s="37" t="str">
        <f>IF(A38="","",IFERROR(INDEX('Snapshot History'!$U$6:$U$1005,MATCH(INT($B$4)&amp;"|"&amp;$A38,'Snapshot History'!$W$6:$W$1005,0)),""))</f>
        <v>v1.0</v>
      </c>
      <c r="M38" s="44" t="str">
        <f>IF(A38="","",IFERROR(INDEX('Snapshot History'!$V$6:$V$1005,MATCH(INT($B$5)&amp;"|"&amp;$A38,'Snapshot History'!$W$6:$W$1005,0)),""))</f>
        <v/>
      </c>
      <c r="N38" s="44" t="str">
        <f>IF(A38="","",IFERROR(INDEX('Snapshot History'!$V$6:$V$1005,MATCH(INT($B$4)&amp;"|"&amp;$A38,'Snapshot History'!$W$6:$W$1005,0)),""))</f>
        <v>Assessed (evidence-supported)</v>
      </c>
      <c r="O38" s="37" t="str">
        <f t="shared" si="3"/>
        <v>Not comparable (composition)</v>
      </c>
    </row>
    <row r="39" spans="1:15" ht="25" x14ac:dyDescent="0.35">
      <c r="A39" s="38" t="str">
        <f>IF('Risk Register'!A9="","",'Risk Register'!A9)</f>
        <v>R-004</v>
      </c>
      <c r="B39" s="44" t="str">
        <f>IF(A39="","",'Risk Register'!B9)</f>
        <v>Missed regulatory deadlines</v>
      </c>
      <c r="C39" s="37">
        <f>IF(A39="","",IFERROR(INDEX('Snapshot History'!$J$6:$J$1005,MATCH(INT($B$5)&amp;"|"&amp;$A39,'Snapshot History'!$W$6:$W$1005,0)),""))</f>
        <v>12</v>
      </c>
      <c r="D39" s="37">
        <f>IF(A39="","",IFERROR(INDEX('Snapshot History'!$J$6:$J$1005,MATCH(INT($B$4)&amp;"|"&amp;$A39,'Snapshot History'!$W$6:$W$1005,0)),""))</f>
        <v>8</v>
      </c>
      <c r="E39" s="37">
        <f t="shared" si="1"/>
        <v>-4</v>
      </c>
      <c r="F39" s="38" t="str">
        <f>IF(A39="","",IFERROR(INDEX('Snapshot History'!$N$6:$N$1005,MATCH(INT($B$5)&amp;"|"&amp;$A39,'Snapshot History'!$W$6:$W$1005,0)),""))</f>
        <v>Tolerance breach</v>
      </c>
      <c r="G39" s="38" t="str">
        <f>IF(A39="","",IFERROR(INDEX('Snapshot History'!$N$6:$N$1005,MATCH(INT($B$4)&amp;"|"&amp;$A39,'Snapshot History'!$W$6:$W$1005,0)),""))</f>
        <v>Appetite breach</v>
      </c>
      <c r="H39" s="38" t="str">
        <f>IF(A39="","",IFERROR(INDEX('Snapshot History'!$O$6:$O$1005,MATCH(INT($B$5)&amp;"|"&amp;$A39,'Snapshot History'!$W$6:$W$1005,0)),""))</f>
        <v>Breach - not accepted</v>
      </c>
      <c r="I39" s="38" t="str">
        <f>IF(A39="","",IFERROR(INDEX('Snapshot History'!$O$6:$O$1005,MATCH(INT($B$4)&amp;"|"&amp;$A39,'Snapshot History'!$W$6:$W$1005,0)),""))</f>
        <v>Breach - not accepted</v>
      </c>
      <c r="J39" s="37" t="str">
        <f t="shared" si="2"/>
        <v>Improved</v>
      </c>
      <c r="K39" s="37" t="str">
        <f>IF(A39="","",IFERROR(INDEX('Snapshot History'!$U$6:$U$1005,MATCH(INT($B$5)&amp;"|"&amp;$A39,'Snapshot History'!$W$6:$W$1005,0)),""))</f>
        <v>v1.0</v>
      </c>
      <c r="L39" s="37" t="str">
        <f>IF(A39="","",IFERROR(INDEX('Snapshot History'!$U$6:$U$1005,MATCH(INT($B$4)&amp;"|"&amp;$A39,'Snapshot History'!$W$6:$W$1005,0)),""))</f>
        <v>v1.0</v>
      </c>
      <c r="M39" s="44" t="str">
        <f>IF(A39="","",IFERROR(INDEX('Snapshot History'!$V$6:$V$1005,MATCH(INT($B$5)&amp;"|"&amp;$A39,'Snapshot History'!$W$6:$W$1005,0)),""))</f>
        <v>Assessed (evidence-supported)</v>
      </c>
      <c r="N39" s="44" t="str">
        <f>IF(A39="","",IFERROR(INDEX('Snapshot History'!$V$6:$V$1005,MATCH(INT($B$4)&amp;"|"&amp;$A39,'Snapshot History'!$W$6:$W$1005,0)),""))</f>
        <v>Assessed (evidence-supported)</v>
      </c>
      <c r="O39" s="37" t="str">
        <f t="shared" si="3"/>
        <v>Like-for-like</v>
      </c>
    </row>
    <row r="40" spans="1:15" ht="25" x14ac:dyDescent="0.35">
      <c r="A40" s="38" t="str">
        <f>IF('Risk Register'!A10="","",'Risk Register'!A10)</f>
        <v>R-005</v>
      </c>
      <c r="B40" s="44" t="str">
        <f>IF(A40="","",'Risk Register'!B10)</f>
        <v>Key-person dependency</v>
      </c>
      <c r="C40" s="37">
        <f>IF(A40="","",IFERROR(INDEX('Snapshot History'!$J$6:$J$1005,MATCH(INT($B$5)&amp;"|"&amp;$A40,'Snapshot History'!$W$6:$W$1005,0)),""))</f>
        <v>9</v>
      </c>
      <c r="D40" s="37">
        <f>IF(A40="","",IFERROR(INDEX('Snapshot History'!$J$6:$J$1005,MATCH(INT($B$4)&amp;"|"&amp;$A40,'Snapshot History'!$W$6:$W$1005,0)),""))</f>
        <v>9</v>
      </c>
      <c r="E40" s="37">
        <f t="shared" si="1"/>
        <v>0</v>
      </c>
      <c r="F40" s="38" t="str">
        <f>IF(A40="","",IFERROR(INDEX('Snapshot History'!$N$6:$N$1005,MATCH(INT($B$5)&amp;"|"&amp;$A40,'Snapshot History'!$W$6:$W$1005,0)),""))</f>
        <v>Within appetite</v>
      </c>
      <c r="G40" s="38" t="str">
        <f>IF(A40="","",IFERROR(INDEX('Snapshot History'!$N$6:$N$1005,MATCH(INT($B$4)&amp;"|"&amp;$A40,'Snapshot History'!$W$6:$W$1005,0)),""))</f>
        <v>Within appetite</v>
      </c>
      <c r="H40" s="38" t="str">
        <f>IF(A40="","",IFERROR(INDEX('Snapshot History'!$O$6:$O$1005,MATCH(INT($B$5)&amp;"|"&amp;$A40,'Snapshot History'!$W$6:$W$1005,0)),""))</f>
        <v>Within appetite</v>
      </c>
      <c r="I40" s="38" t="str">
        <f>IF(A40="","",IFERROR(INDEX('Snapshot History'!$O$6:$O$1005,MATCH(INT($B$4)&amp;"|"&amp;$A40,'Snapshot History'!$W$6:$W$1005,0)),""))</f>
        <v>Within appetite</v>
      </c>
      <c r="J40" s="37" t="str">
        <f t="shared" si="2"/>
        <v>Unchanged</v>
      </c>
      <c r="K40" s="37" t="str">
        <f>IF(A40="","",IFERROR(INDEX('Snapshot History'!$U$6:$U$1005,MATCH(INT($B$5)&amp;"|"&amp;$A40,'Snapshot History'!$W$6:$W$1005,0)),""))</f>
        <v>v1.0</v>
      </c>
      <c r="L40" s="37" t="str">
        <f>IF(A40="","",IFERROR(INDEX('Snapshot History'!$U$6:$U$1005,MATCH(INT($B$4)&amp;"|"&amp;$A40,'Snapshot History'!$W$6:$W$1005,0)),""))</f>
        <v>v1.0</v>
      </c>
      <c r="M40" s="44" t="str">
        <f>IF(A40="","",IFERROR(INDEX('Snapshot History'!$V$6:$V$1005,MATCH(INT($B$5)&amp;"|"&amp;$A40,'Snapshot History'!$W$6:$W$1005,0)),""))</f>
        <v>Assessed (evidence-supported)</v>
      </c>
      <c r="N40" s="44" t="str">
        <f>IF(A40="","",IFERROR(INDEX('Snapshot History'!$V$6:$V$1005,MATCH(INT($B$4)&amp;"|"&amp;$A40,'Snapshot History'!$W$6:$W$1005,0)),""))</f>
        <v>Assessed (evidence-supported)</v>
      </c>
      <c r="O40" s="37" t="str">
        <f t="shared" si="3"/>
        <v>Like-for-like</v>
      </c>
    </row>
    <row r="41" spans="1:15" ht="25" x14ac:dyDescent="0.35">
      <c r="A41" s="38" t="str">
        <f>IF('Risk Register'!A11="","",'Risk Register'!A11)</f>
        <v>R-006</v>
      </c>
      <c r="B41" s="44" t="str">
        <f>IF(A41="","",'Risk Register'!B11)</f>
        <v>Legacy ERP out of support</v>
      </c>
      <c r="C41" s="37">
        <f>IF(A41="","",IFERROR(INDEX('Snapshot History'!$J$6:$J$1005,MATCH(INT($B$5)&amp;"|"&amp;$A41,'Snapshot History'!$W$6:$W$1005,0)),""))</f>
        <v>15</v>
      </c>
      <c r="D41" s="37">
        <f>IF(A41="","",IFERROR(INDEX('Snapshot History'!$J$6:$J$1005,MATCH(INT($B$4)&amp;"|"&amp;$A41,'Snapshot History'!$W$6:$W$1005,0)),""))</f>
        <v>15</v>
      </c>
      <c r="E41" s="37">
        <f t="shared" si="1"/>
        <v>0</v>
      </c>
      <c r="F41" s="38" t="str">
        <f>IF(A41="","",IFERROR(INDEX('Snapshot History'!$N$6:$N$1005,MATCH(INT($B$5)&amp;"|"&amp;$A41,'Snapshot History'!$W$6:$W$1005,0)),""))</f>
        <v>Appetite breach</v>
      </c>
      <c r="G41" s="38" t="str">
        <f>IF(A41="","",IFERROR(INDEX('Snapshot History'!$N$6:$N$1005,MATCH(INT($B$4)&amp;"|"&amp;$A41,'Snapshot History'!$W$6:$W$1005,0)),""))</f>
        <v>Appetite breach</v>
      </c>
      <c r="H41" s="38" t="str">
        <f>IF(A41="","",IFERROR(INDEX('Snapshot History'!$O$6:$O$1005,MATCH(INT($B$5)&amp;"|"&amp;$A41,'Snapshot History'!$W$6:$W$1005,0)),""))</f>
        <v>Accepted - expiry not set</v>
      </c>
      <c r="I41" s="38" t="str">
        <f>IF(A41="","",IFERROR(INDEX('Snapshot History'!$O$6:$O$1005,MATCH(INT($B$4)&amp;"|"&amp;$A41,'Snapshot History'!$W$6:$W$1005,0)),""))</f>
        <v>Accepted - expiry not set</v>
      </c>
      <c r="J41" s="37" t="str">
        <f t="shared" si="2"/>
        <v>Unchanged</v>
      </c>
      <c r="K41" s="37" t="str">
        <f>IF(A41="","",IFERROR(INDEX('Snapshot History'!$U$6:$U$1005,MATCH(INT($B$5)&amp;"|"&amp;$A41,'Snapshot History'!$W$6:$W$1005,0)),""))</f>
        <v>v1.0</v>
      </c>
      <c r="L41" s="37" t="str">
        <f>IF(A41="","",IFERROR(INDEX('Snapshot History'!$U$6:$U$1005,MATCH(INT($B$4)&amp;"|"&amp;$A41,'Snapshot History'!$W$6:$W$1005,0)),""))</f>
        <v>v1.0</v>
      </c>
      <c r="M41" s="44" t="str">
        <f>IF(A41="","",IFERROR(INDEX('Snapshot History'!$V$6:$V$1005,MATCH(INT($B$5)&amp;"|"&amp;$A41,'Snapshot History'!$W$6:$W$1005,0)),""))</f>
        <v>Assessed (evidence-supported)</v>
      </c>
      <c r="N41" s="44" t="str">
        <f>IF(A41="","",IFERROR(INDEX('Snapshot History'!$V$6:$V$1005,MATCH(INT($B$4)&amp;"|"&amp;$A41,'Snapshot History'!$W$6:$W$1005,0)),""))</f>
        <v>Assessed (evidence-supported)</v>
      </c>
      <c r="O41" s="37" t="str">
        <f t="shared" si="3"/>
        <v>Like-for-like</v>
      </c>
    </row>
    <row r="42" spans="1:15" ht="25" x14ac:dyDescent="0.35">
      <c r="A42" s="38" t="str">
        <f>IF('Risk Register'!A12="","",'Risk Register'!A12)</f>
        <v>R-007</v>
      </c>
      <c r="B42" s="44" t="str">
        <f>IF(A42="","",'Risk Register'!B12)</f>
        <v>Supplier price inflation</v>
      </c>
      <c r="C42" s="37">
        <f>IF(A42="","",IFERROR(INDEX('Snapshot History'!$J$6:$J$1005,MATCH(INT($B$5)&amp;"|"&amp;$A42,'Snapshot History'!$W$6:$W$1005,0)),""))</f>
        <v>6</v>
      </c>
      <c r="D42" s="37">
        <f>IF(A42="","",IFERROR(INDEX('Snapshot History'!$J$6:$J$1005,MATCH(INT($B$4)&amp;"|"&amp;$A42,'Snapshot History'!$W$6:$W$1005,0)),""))</f>
        <v>9</v>
      </c>
      <c r="E42" s="37">
        <f t="shared" si="1"/>
        <v>3</v>
      </c>
      <c r="F42" s="38" t="str">
        <f>IF(A42="","",IFERROR(INDEX('Snapshot History'!$N$6:$N$1005,MATCH(INT($B$5)&amp;"|"&amp;$A42,'Snapshot History'!$W$6:$W$1005,0)),""))</f>
        <v>Within appetite</v>
      </c>
      <c r="G42" s="38" t="str">
        <f>IF(A42="","",IFERROR(INDEX('Snapshot History'!$N$6:$N$1005,MATCH(INT($B$4)&amp;"|"&amp;$A42,'Snapshot History'!$W$6:$W$1005,0)),""))</f>
        <v>Within appetite</v>
      </c>
      <c r="H42" s="38" t="str">
        <f>IF(A42="","",IFERROR(INDEX('Snapshot History'!$O$6:$O$1005,MATCH(INT($B$5)&amp;"|"&amp;$A42,'Snapshot History'!$W$6:$W$1005,0)),""))</f>
        <v>Within appetite</v>
      </c>
      <c r="I42" s="38" t="str">
        <f>IF(A42="","",IFERROR(INDEX('Snapshot History'!$O$6:$O$1005,MATCH(INT($B$4)&amp;"|"&amp;$A42,'Snapshot History'!$W$6:$W$1005,0)),""))</f>
        <v>Within appetite</v>
      </c>
      <c r="J42" s="37" t="str">
        <f t="shared" si="2"/>
        <v>Worsened</v>
      </c>
      <c r="K42" s="37" t="str">
        <f>IF(A42="","",IFERROR(INDEX('Snapshot History'!$U$6:$U$1005,MATCH(INT($B$5)&amp;"|"&amp;$A42,'Snapshot History'!$W$6:$W$1005,0)),""))</f>
        <v>v1.0</v>
      </c>
      <c r="L42" s="37" t="str">
        <f>IF(A42="","",IFERROR(INDEX('Snapshot History'!$U$6:$U$1005,MATCH(INT($B$4)&amp;"|"&amp;$A42,'Snapshot History'!$W$6:$W$1005,0)),""))</f>
        <v>v1.0</v>
      </c>
      <c r="M42" s="44" t="str">
        <f>IF(A42="","",IFERROR(INDEX('Snapshot History'!$V$6:$V$1005,MATCH(INT($B$5)&amp;"|"&amp;$A42,'Snapshot History'!$W$6:$W$1005,0)),""))</f>
        <v>Assessed (evidence-supported)</v>
      </c>
      <c r="N42" s="44" t="str">
        <f>IF(A42="","",IFERROR(INDEX('Snapshot History'!$V$6:$V$1005,MATCH(INT($B$4)&amp;"|"&amp;$A42,'Snapshot History'!$W$6:$W$1005,0)),""))</f>
        <v>Inherent only (no valid assessment)</v>
      </c>
      <c r="O42" s="37" t="str">
        <f t="shared" si="3"/>
        <v>Assessment basis changed</v>
      </c>
    </row>
    <row r="43" spans="1:15" ht="25" x14ac:dyDescent="0.35">
      <c r="A43" s="38" t="str">
        <f>IF('Risk Register'!A13="","",'Risk Register'!A13)</f>
        <v>R-008</v>
      </c>
      <c r="B43" s="44" t="str">
        <f>IF(A43="","",'Risk Register'!B13)</f>
        <v>Loss of anchor customer</v>
      </c>
      <c r="C43" s="37">
        <f>IF(A43="","",IFERROR(INDEX('Snapshot History'!$J$6:$J$1005,MATCH(INT($B$5)&amp;"|"&amp;$A43,'Snapshot History'!$W$6:$W$1005,0)),""))</f>
        <v>10</v>
      </c>
      <c r="D43" s="37">
        <f>IF(A43="","",IFERROR(INDEX('Snapshot History'!$J$6:$J$1005,MATCH(INT($B$4)&amp;"|"&amp;$A43,'Snapshot History'!$W$6:$W$1005,0)),""))</f>
        <v>10</v>
      </c>
      <c r="E43" s="37">
        <f t="shared" si="1"/>
        <v>0</v>
      </c>
      <c r="F43" s="38" t="str">
        <f>IF(A43="","",IFERROR(INDEX('Snapshot History'!$N$6:$N$1005,MATCH(INT($B$5)&amp;"|"&amp;$A43,'Snapshot History'!$W$6:$W$1005,0)),""))</f>
        <v>Within appetite</v>
      </c>
      <c r="G43" s="38" t="str">
        <f>IF(A43="","",IFERROR(INDEX('Snapshot History'!$N$6:$N$1005,MATCH(INT($B$4)&amp;"|"&amp;$A43,'Snapshot History'!$W$6:$W$1005,0)),""))</f>
        <v>Within appetite</v>
      </c>
      <c r="H43" s="38" t="str">
        <f>IF(A43="","",IFERROR(INDEX('Snapshot History'!$O$6:$O$1005,MATCH(INT($B$5)&amp;"|"&amp;$A43,'Snapshot History'!$W$6:$W$1005,0)),""))</f>
        <v>Within appetite</v>
      </c>
      <c r="I43" s="38" t="str">
        <f>IF(A43="","",IFERROR(INDEX('Snapshot History'!$O$6:$O$1005,MATCH(INT($B$4)&amp;"|"&amp;$A43,'Snapshot History'!$W$6:$W$1005,0)),""))</f>
        <v>Within appetite</v>
      </c>
      <c r="J43" s="37" t="str">
        <f t="shared" si="2"/>
        <v>Unchanged</v>
      </c>
      <c r="K43" s="37" t="str">
        <f>IF(A43="","",IFERROR(INDEX('Snapshot History'!$U$6:$U$1005,MATCH(INT($B$5)&amp;"|"&amp;$A43,'Snapshot History'!$W$6:$W$1005,0)),""))</f>
        <v>v1.0</v>
      </c>
      <c r="L43" s="37" t="str">
        <f>IF(A43="","",IFERROR(INDEX('Snapshot History'!$U$6:$U$1005,MATCH(INT($B$4)&amp;"|"&amp;$A43,'Snapshot History'!$W$6:$W$1005,0)),""))</f>
        <v>v1.0</v>
      </c>
      <c r="M43" s="44" t="str">
        <f>IF(A43="","",IFERROR(INDEX('Snapshot History'!$V$6:$V$1005,MATCH(INT($B$5)&amp;"|"&amp;$A43,'Snapshot History'!$W$6:$W$1005,0)),""))</f>
        <v>Inherent only (no valid assessment)</v>
      </c>
      <c r="N43" s="44" t="str">
        <f>IF(A43="","",IFERROR(INDEX('Snapshot History'!$V$6:$V$1005,MATCH(INT($B$4)&amp;"|"&amp;$A43,'Snapshot History'!$W$6:$W$1005,0)),""))</f>
        <v>Inherent only (no valid assessment)</v>
      </c>
      <c r="O43" s="37" t="str">
        <f t="shared" si="3"/>
        <v>Like-for-like</v>
      </c>
    </row>
    <row r="44" spans="1:15" x14ac:dyDescent="0.35">
      <c r="A44" s="38" t="str">
        <f>IF('Risk Register'!A14="","",'Risk Register'!A14)</f>
        <v/>
      </c>
      <c r="B44" s="44" t="str">
        <f>IF(A44="","",'Risk Register'!B14)</f>
        <v/>
      </c>
      <c r="C44" s="37" t="str">
        <f>IF(A44="","",IFERROR(INDEX('Snapshot History'!$J$6:$J$1005,MATCH(INT($B$5)&amp;"|"&amp;$A44,'Snapshot History'!$W$6:$W$1005,0)),""))</f>
        <v/>
      </c>
      <c r="D44" s="37" t="str">
        <f>IF(A44="","",IFERROR(INDEX('Snapshot History'!$J$6:$J$1005,MATCH(INT($B$4)&amp;"|"&amp;$A44,'Snapshot History'!$W$6:$W$1005,0)),""))</f>
        <v/>
      </c>
      <c r="E44" s="37" t="str">
        <f t="shared" si="1"/>
        <v/>
      </c>
      <c r="F44" s="38" t="str">
        <f>IF(A44="","",IFERROR(INDEX('Snapshot History'!$N$6:$N$1005,MATCH(INT($B$5)&amp;"|"&amp;$A44,'Snapshot History'!$W$6:$W$1005,0)),""))</f>
        <v/>
      </c>
      <c r="G44" s="38" t="str">
        <f>IF(A44="","",IFERROR(INDEX('Snapshot History'!$N$6:$N$1005,MATCH(INT($B$4)&amp;"|"&amp;$A44,'Snapshot History'!$W$6:$W$1005,0)),""))</f>
        <v/>
      </c>
      <c r="H44" s="38" t="str">
        <f>IF(A44="","",IFERROR(INDEX('Snapshot History'!$O$6:$O$1005,MATCH(INT($B$5)&amp;"|"&amp;$A44,'Snapshot History'!$W$6:$W$1005,0)),""))</f>
        <v/>
      </c>
      <c r="I44" s="38" t="str">
        <f>IF(A44="","",IFERROR(INDEX('Snapshot History'!$O$6:$O$1005,MATCH(INT($B$4)&amp;"|"&amp;$A44,'Snapshot History'!$W$6:$W$1005,0)),""))</f>
        <v/>
      </c>
      <c r="J44" s="37" t="str">
        <f t="shared" si="2"/>
        <v/>
      </c>
      <c r="K44" s="37" t="str">
        <f>IF(A44="","",IFERROR(INDEX('Snapshot History'!$U$6:$U$1005,MATCH(INT($B$5)&amp;"|"&amp;$A44,'Snapshot History'!$W$6:$W$1005,0)),""))</f>
        <v/>
      </c>
      <c r="L44" s="37" t="str">
        <f>IF(A44="","",IFERROR(INDEX('Snapshot History'!$U$6:$U$1005,MATCH(INT($B$4)&amp;"|"&amp;$A44,'Snapshot History'!$W$6:$W$1005,0)),""))</f>
        <v/>
      </c>
      <c r="M44" s="44" t="str">
        <f>IF(A44="","",IFERROR(INDEX('Snapshot History'!$V$6:$V$1005,MATCH(INT($B$5)&amp;"|"&amp;$A44,'Snapshot History'!$W$6:$W$1005,0)),""))</f>
        <v/>
      </c>
      <c r="N44" s="44" t="str">
        <f>IF(A44="","",IFERROR(INDEX('Snapshot History'!$V$6:$V$1005,MATCH(INT($B$4)&amp;"|"&amp;$A44,'Snapshot History'!$W$6:$W$1005,0)),""))</f>
        <v/>
      </c>
      <c r="O44" s="37" t="str">
        <f t="shared" si="3"/>
        <v/>
      </c>
    </row>
    <row r="45" spans="1:15" x14ac:dyDescent="0.35">
      <c r="A45" s="38" t="str">
        <f>IF('Risk Register'!A15="","",'Risk Register'!A15)</f>
        <v/>
      </c>
      <c r="B45" s="44" t="str">
        <f>IF(A45="","",'Risk Register'!B15)</f>
        <v/>
      </c>
      <c r="C45" s="37" t="str">
        <f>IF(A45="","",IFERROR(INDEX('Snapshot History'!$J$6:$J$1005,MATCH(INT($B$5)&amp;"|"&amp;$A45,'Snapshot History'!$W$6:$W$1005,0)),""))</f>
        <v/>
      </c>
      <c r="D45" s="37" t="str">
        <f>IF(A45="","",IFERROR(INDEX('Snapshot History'!$J$6:$J$1005,MATCH(INT($B$4)&amp;"|"&amp;$A45,'Snapshot History'!$W$6:$W$1005,0)),""))</f>
        <v/>
      </c>
      <c r="E45" s="37" t="str">
        <f t="shared" si="1"/>
        <v/>
      </c>
      <c r="F45" s="38" t="str">
        <f>IF(A45="","",IFERROR(INDEX('Snapshot History'!$N$6:$N$1005,MATCH(INT($B$5)&amp;"|"&amp;$A45,'Snapshot History'!$W$6:$W$1005,0)),""))</f>
        <v/>
      </c>
      <c r="G45" s="38" t="str">
        <f>IF(A45="","",IFERROR(INDEX('Snapshot History'!$N$6:$N$1005,MATCH(INT($B$4)&amp;"|"&amp;$A45,'Snapshot History'!$W$6:$W$1005,0)),""))</f>
        <v/>
      </c>
      <c r="H45" s="38" t="str">
        <f>IF(A45="","",IFERROR(INDEX('Snapshot History'!$O$6:$O$1005,MATCH(INT($B$5)&amp;"|"&amp;$A45,'Snapshot History'!$W$6:$W$1005,0)),""))</f>
        <v/>
      </c>
      <c r="I45" s="38" t="str">
        <f>IF(A45="","",IFERROR(INDEX('Snapshot History'!$O$6:$O$1005,MATCH(INT($B$4)&amp;"|"&amp;$A45,'Snapshot History'!$W$6:$W$1005,0)),""))</f>
        <v/>
      </c>
      <c r="J45" s="37" t="str">
        <f t="shared" si="2"/>
        <v/>
      </c>
      <c r="K45" s="37" t="str">
        <f>IF(A45="","",IFERROR(INDEX('Snapshot History'!$U$6:$U$1005,MATCH(INT($B$5)&amp;"|"&amp;$A45,'Snapshot History'!$W$6:$W$1005,0)),""))</f>
        <v/>
      </c>
      <c r="L45" s="37" t="str">
        <f>IF(A45="","",IFERROR(INDEX('Snapshot History'!$U$6:$U$1005,MATCH(INT($B$4)&amp;"|"&amp;$A45,'Snapshot History'!$W$6:$W$1005,0)),""))</f>
        <v/>
      </c>
      <c r="M45" s="44" t="str">
        <f>IF(A45="","",IFERROR(INDEX('Snapshot History'!$V$6:$V$1005,MATCH(INT($B$5)&amp;"|"&amp;$A45,'Snapshot History'!$W$6:$W$1005,0)),""))</f>
        <v/>
      </c>
      <c r="N45" s="44" t="str">
        <f>IF(A45="","",IFERROR(INDEX('Snapshot History'!$V$6:$V$1005,MATCH(INT($B$4)&amp;"|"&amp;$A45,'Snapshot History'!$W$6:$W$1005,0)),""))</f>
        <v/>
      </c>
      <c r="O45" s="37" t="str">
        <f t="shared" si="3"/>
        <v/>
      </c>
    </row>
    <row r="46" spans="1:15" x14ac:dyDescent="0.35">
      <c r="A46" s="38" t="str">
        <f>IF('Risk Register'!A16="","",'Risk Register'!A16)</f>
        <v/>
      </c>
      <c r="B46" s="44" t="str">
        <f>IF(A46="","",'Risk Register'!B16)</f>
        <v/>
      </c>
      <c r="C46" s="37" t="str">
        <f>IF(A46="","",IFERROR(INDEX('Snapshot History'!$J$6:$J$1005,MATCH(INT($B$5)&amp;"|"&amp;$A46,'Snapshot History'!$W$6:$W$1005,0)),""))</f>
        <v/>
      </c>
      <c r="D46" s="37" t="str">
        <f>IF(A46="","",IFERROR(INDEX('Snapshot History'!$J$6:$J$1005,MATCH(INT($B$4)&amp;"|"&amp;$A46,'Snapshot History'!$W$6:$W$1005,0)),""))</f>
        <v/>
      </c>
      <c r="E46" s="37" t="str">
        <f t="shared" si="1"/>
        <v/>
      </c>
      <c r="F46" s="38" t="str">
        <f>IF(A46="","",IFERROR(INDEX('Snapshot History'!$N$6:$N$1005,MATCH(INT($B$5)&amp;"|"&amp;$A46,'Snapshot History'!$W$6:$W$1005,0)),""))</f>
        <v/>
      </c>
      <c r="G46" s="38" t="str">
        <f>IF(A46="","",IFERROR(INDEX('Snapshot History'!$N$6:$N$1005,MATCH(INT($B$4)&amp;"|"&amp;$A46,'Snapshot History'!$W$6:$W$1005,0)),""))</f>
        <v/>
      </c>
      <c r="H46" s="38" t="str">
        <f>IF(A46="","",IFERROR(INDEX('Snapshot History'!$O$6:$O$1005,MATCH(INT($B$5)&amp;"|"&amp;$A46,'Snapshot History'!$W$6:$W$1005,0)),""))</f>
        <v/>
      </c>
      <c r="I46" s="38" t="str">
        <f>IF(A46="","",IFERROR(INDEX('Snapshot History'!$O$6:$O$1005,MATCH(INT($B$4)&amp;"|"&amp;$A46,'Snapshot History'!$W$6:$W$1005,0)),""))</f>
        <v/>
      </c>
      <c r="J46" s="37" t="str">
        <f t="shared" si="2"/>
        <v/>
      </c>
      <c r="K46" s="37" t="str">
        <f>IF(A46="","",IFERROR(INDEX('Snapshot History'!$U$6:$U$1005,MATCH(INT($B$5)&amp;"|"&amp;$A46,'Snapshot History'!$W$6:$W$1005,0)),""))</f>
        <v/>
      </c>
      <c r="L46" s="37" t="str">
        <f>IF(A46="","",IFERROR(INDEX('Snapshot History'!$U$6:$U$1005,MATCH(INT($B$4)&amp;"|"&amp;$A46,'Snapshot History'!$W$6:$W$1005,0)),""))</f>
        <v/>
      </c>
      <c r="M46" s="44" t="str">
        <f>IF(A46="","",IFERROR(INDEX('Snapshot History'!$V$6:$V$1005,MATCH(INT($B$5)&amp;"|"&amp;$A46,'Snapshot History'!$W$6:$W$1005,0)),""))</f>
        <v/>
      </c>
      <c r="N46" s="44" t="str">
        <f>IF(A46="","",IFERROR(INDEX('Snapshot History'!$V$6:$V$1005,MATCH(INT($B$4)&amp;"|"&amp;$A46,'Snapshot History'!$W$6:$W$1005,0)),""))</f>
        <v/>
      </c>
      <c r="O46" s="37" t="str">
        <f t="shared" si="3"/>
        <v/>
      </c>
    </row>
    <row r="47" spans="1:15" x14ac:dyDescent="0.35">
      <c r="A47" s="38" t="str">
        <f>IF('Risk Register'!A17="","",'Risk Register'!A17)</f>
        <v/>
      </c>
      <c r="B47" s="44" t="str">
        <f>IF(A47="","",'Risk Register'!B17)</f>
        <v/>
      </c>
      <c r="C47" s="37" t="str">
        <f>IF(A47="","",IFERROR(INDEX('Snapshot History'!$J$6:$J$1005,MATCH(INT($B$5)&amp;"|"&amp;$A47,'Snapshot History'!$W$6:$W$1005,0)),""))</f>
        <v/>
      </c>
      <c r="D47" s="37" t="str">
        <f>IF(A47="","",IFERROR(INDEX('Snapshot History'!$J$6:$J$1005,MATCH(INT($B$4)&amp;"|"&amp;$A47,'Snapshot History'!$W$6:$W$1005,0)),""))</f>
        <v/>
      </c>
      <c r="E47" s="37" t="str">
        <f t="shared" si="1"/>
        <v/>
      </c>
      <c r="F47" s="38" t="str">
        <f>IF(A47="","",IFERROR(INDEX('Snapshot History'!$N$6:$N$1005,MATCH(INT($B$5)&amp;"|"&amp;$A47,'Snapshot History'!$W$6:$W$1005,0)),""))</f>
        <v/>
      </c>
      <c r="G47" s="38" t="str">
        <f>IF(A47="","",IFERROR(INDEX('Snapshot History'!$N$6:$N$1005,MATCH(INT($B$4)&amp;"|"&amp;$A47,'Snapshot History'!$W$6:$W$1005,0)),""))</f>
        <v/>
      </c>
      <c r="H47" s="38" t="str">
        <f>IF(A47="","",IFERROR(INDEX('Snapshot History'!$O$6:$O$1005,MATCH(INT($B$5)&amp;"|"&amp;$A47,'Snapshot History'!$W$6:$W$1005,0)),""))</f>
        <v/>
      </c>
      <c r="I47" s="38" t="str">
        <f>IF(A47="","",IFERROR(INDEX('Snapshot History'!$O$6:$O$1005,MATCH(INT($B$4)&amp;"|"&amp;$A47,'Snapshot History'!$W$6:$W$1005,0)),""))</f>
        <v/>
      </c>
      <c r="J47" s="37" t="str">
        <f t="shared" si="2"/>
        <v/>
      </c>
      <c r="K47" s="37" t="str">
        <f>IF(A47="","",IFERROR(INDEX('Snapshot History'!$U$6:$U$1005,MATCH(INT($B$5)&amp;"|"&amp;$A47,'Snapshot History'!$W$6:$W$1005,0)),""))</f>
        <v/>
      </c>
      <c r="L47" s="37" t="str">
        <f>IF(A47="","",IFERROR(INDEX('Snapshot History'!$U$6:$U$1005,MATCH(INT($B$4)&amp;"|"&amp;$A47,'Snapshot History'!$W$6:$W$1005,0)),""))</f>
        <v/>
      </c>
      <c r="M47" s="44" t="str">
        <f>IF(A47="","",IFERROR(INDEX('Snapshot History'!$V$6:$V$1005,MATCH(INT($B$5)&amp;"|"&amp;$A47,'Snapshot History'!$W$6:$W$1005,0)),""))</f>
        <v/>
      </c>
      <c r="N47" s="44" t="str">
        <f>IF(A47="","",IFERROR(INDEX('Snapshot History'!$V$6:$V$1005,MATCH(INT($B$4)&amp;"|"&amp;$A47,'Snapshot History'!$W$6:$W$1005,0)),""))</f>
        <v/>
      </c>
      <c r="O47" s="37" t="str">
        <f t="shared" si="3"/>
        <v/>
      </c>
    </row>
    <row r="48" spans="1:15" x14ac:dyDescent="0.35">
      <c r="A48" s="38" t="str">
        <f>IF('Risk Register'!A18="","",'Risk Register'!A18)</f>
        <v/>
      </c>
      <c r="B48" s="44" t="str">
        <f>IF(A48="","",'Risk Register'!B18)</f>
        <v/>
      </c>
      <c r="C48" s="37" t="str">
        <f>IF(A48="","",IFERROR(INDEX('Snapshot History'!$J$6:$J$1005,MATCH(INT($B$5)&amp;"|"&amp;$A48,'Snapshot History'!$W$6:$W$1005,0)),""))</f>
        <v/>
      </c>
      <c r="D48" s="37" t="str">
        <f>IF(A48="","",IFERROR(INDEX('Snapshot History'!$J$6:$J$1005,MATCH(INT($B$4)&amp;"|"&amp;$A48,'Snapshot History'!$W$6:$W$1005,0)),""))</f>
        <v/>
      </c>
      <c r="E48" s="37" t="str">
        <f t="shared" si="1"/>
        <v/>
      </c>
      <c r="F48" s="38" t="str">
        <f>IF(A48="","",IFERROR(INDEX('Snapshot History'!$N$6:$N$1005,MATCH(INT($B$5)&amp;"|"&amp;$A48,'Snapshot History'!$W$6:$W$1005,0)),""))</f>
        <v/>
      </c>
      <c r="G48" s="38" t="str">
        <f>IF(A48="","",IFERROR(INDEX('Snapshot History'!$N$6:$N$1005,MATCH(INT($B$4)&amp;"|"&amp;$A48,'Snapshot History'!$W$6:$W$1005,0)),""))</f>
        <v/>
      </c>
      <c r="H48" s="38" t="str">
        <f>IF(A48="","",IFERROR(INDEX('Snapshot History'!$O$6:$O$1005,MATCH(INT($B$5)&amp;"|"&amp;$A48,'Snapshot History'!$W$6:$W$1005,0)),""))</f>
        <v/>
      </c>
      <c r="I48" s="38" t="str">
        <f>IF(A48="","",IFERROR(INDEX('Snapshot History'!$O$6:$O$1005,MATCH(INT($B$4)&amp;"|"&amp;$A48,'Snapshot History'!$W$6:$W$1005,0)),""))</f>
        <v/>
      </c>
      <c r="J48" s="37" t="str">
        <f t="shared" si="2"/>
        <v/>
      </c>
      <c r="K48" s="37" t="str">
        <f>IF(A48="","",IFERROR(INDEX('Snapshot History'!$U$6:$U$1005,MATCH(INT($B$5)&amp;"|"&amp;$A48,'Snapshot History'!$W$6:$W$1005,0)),""))</f>
        <v/>
      </c>
      <c r="L48" s="37" t="str">
        <f>IF(A48="","",IFERROR(INDEX('Snapshot History'!$U$6:$U$1005,MATCH(INT($B$4)&amp;"|"&amp;$A48,'Snapshot History'!$W$6:$W$1005,0)),""))</f>
        <v/>
      </c>
      <c r="M48" s="44" t="str">
        <f>IF(A48="","",IFERROR(INDEX('Snapshot History'!$V$6:$V$1005,MATCH(INT($B$5)&amp;"|"&amp;$A48,'Snapshot History'!$W$6:$W$1005,0)),""))</f>
        <v/>
      </c>
      <c r="N48" s="44" t="str">
        <f>IF(A48="","",IFERROR(INDEX('Snapshot History'!$V$6:$V$1005,MATCH(INT($B$4)&amp;"|"&amp;$A48,'Snapshot History'!$W$6:$W$1005,0)),""))</f>
        <v/>
      </c>
      <c r="O48" s="37" t="str">
        <f t="shared" si="3"/>
        <v/>
      </c>
    </row>
    <row r="49" spans="1:15" x14ac:dyDescent="0.35">
      <c r="A49" s="38" t="str">
        <f>IF('Risk Register'!A19="","",'Risk Register'!A19)</f>
        <v/>
      </c>
      <c r="B49" s="44" t="str">
        <f>IF(A49="","",'Risk Register'!B19)</f>
        <v/>
      </c>
      <c r="C49" s="37" t="str">
        <f>IF(A49="","",IFERROR(INDEX('Snapshot History'!$J$6:$J$1005,MATCH(INT($B$5)&amp;"|"&amp;$A49,'Snapshot History'!$W$6:$W$1005,0)),""))</f>
        <v/>
      </c>
      <c r="D49" s="37" t="str">
        <f>IF(A49="","",IFERROR(INDEX('Snapshot History'!$J$6:$J$1005,MATCH(INT($B$4)&amp;"|"&amp;$A49,'Snapshot History'!$W$6:$W$1005,0)),""))</f>
        <v/>
      </c>
      <c r="E49" s="37" t="str">
        <f t="shared" si="1"/>
        <v/>
      </c>
      <c r="F49" s="38" t="str">
        <f>IF(A49="","",IFERROR(INDEX('Snapshot History'!$N$6:$N$1005,MATCH(INT($B$5)&amp;"|"&amp;$A49,'Snapshot History'!$W$6:$W$1005,0)),""))</f>
        <v/>
      </c>
      <c r="G49" s="38" t="str">
        <f>IF(A49="","",IFERROR(INDEX('Snapshot History'!$N$6:$N$1005,MATCH(INT($B$4)&amp;"|"&amp;$A49,'Snapshot History'!$W$6:$W$1005,0)),""))</f>
        <v/>
      </c>
      <c r="H49" s="38" t="str">
        <f>IF(A49="","",IFERROR(INDEX('Snapshot History'!$O$6:$O$1005,MATCH(INT($B$5)&amp;"|"&amp;$A49,'Snapshot History'!$W$6:$W$1005,0)),""))</f>
        <v/>
      </c>
      <c r="I49" s="38" t="str">
        <f>IF(A49="","",IFERROR(INDEX('Snapshot History'!$O$6:$O$1005,MATCH(INT($B$4)&amp;"|"&amp;$A49,'Snapshot History'!$W$6:$W$1005,0)),""))</f>
        <v/>
      </c>
      <c r="J49" s="37" t="str">
        <f t="shared" si="2"/>
        <v/>
      </c>
      <c r="K49" s="37" t="str">
        <f>IF(A49="","",IFERROR(INDEX('Snapshot History'!$U$6:$U$1005,MATCH(INT($B$5)&amp;"|"&amp;$A49,'Snapshot History'!$W$6:$W$1005,0)),""))</f>
        <v/>
      </c>
      <c r="L49" s="37" t="str">
        <f>IF(A49="","",IFERROR(INDEX('Snapshot History'!$U$6:$U$1005,MATCH(INT($B$4)&amp;"|"&amp;$A49,'Snapshot History'!$W$6:$W$1005,0)),""))</f>
        <v/>
      </c>
      <c r="M49" s="44" t="str">
        <f>IF(A49="","",IFERROR(INDEX('Snapshot History'!$V$6:$V$1005,MATCH(INT($B$5)&amp;"|"&amp;$A49,'Snapshot History'!$W$6:$W$1005,0)),""))</f>
        <v/>
      </c>
      <c r="N49" s="44" t="str">
        <f>IF(A49="","",IFERROR(INDEX('Snapshot History'!$V$6:$V$1005,MATCH(INT($B$4)&amp;"|"&amp;$A49,'Snapshot History'!$W$6:$W$1005,0)),""))</f>
        <v/>
      </c>
      <c r="O49" s="37" t="str">
        <f t="shared" si="3"/>
        <v/>
      </c>
    </row>
    <row r="50" spans="1:15" x14ac:dyDescent="0.35">
      <c r="A50" s="38" t="str">
        <f>IF('Risk Register'!A20="","",'Risk Register'!A20)</f>
        <v/>
      </c>
      <c r="B50" s="44" t="str">
        <f>IF(A50="","",'Risk Register'!B20)</f>
        <v/>
      </c>
      <c r="C50" s="37" t="str">
        <f>IF(A50="","",IFERROR(INDEX('Snapshot History'!$J$6:$J$1005,MATCH(INT($B$5)&amp;"|"&amp;$A50,'Snapshot History'!$W$6:$W$1005,0)),""))</f>
        <v/>
      </c>
      <c r="D50" s="37" t="str">
        <f>IF(A50="","",IFERROR(INDEX('Snapshot History'!$J$6:$J$1005,MATCH(INT($B$4)&amp;"|"&amp;$A50,'Snapshot History'!$W$6:$W$1005,0)),""))</f>
        <v/>
      </c>
      <c r="E50" s="37" t="str">
        <f t="shared" si="1"/>
        <v/>
      </c>
      <c r="F50" s="38" t="str">
        <f>IF(A50="","",IFERROR(INDEX('Snapshot History'!$N$6:$N$1005,MATCH(INT($B$5)&amp;"|"&amp;$A50,'Snapshot History'!$W$6:$W$1005,0)),""))</f>
        <v/>
      </c>
      <c r="G50" s="38" t="str">
        <f>IF(A50="","",IFERROR(INDEX('Snapshot History'!$N$6:$N$1005,MATCH(INT($B$4)&amp;"|"&amp;$A50,'Snapshot History'!$W$6:$W$1005,0)),""))</f>
        <v/>
      </c>
      <c r="H50" s="38" t="str">
        <f>IF(A50="","",IFERROR(INDEX('Snapshot History'!$O$6:$O$1005,MATCH(INT($B$5)&amp;"|"&amp;$A50,'Snapshot History'!$W$6:$W$1005,0)),""))</f>
        <v/>
      </c>
      <c r="I50" s="38" t="str">
        <f>IF(A50="","",IFERROR(INDEX('Snapshot History'!$O$6:$O$1005,MATCH(INT($B$4)&amp;"|"&amp;$A50,'Snapshot History'!$W$6:$W$1005,0)),""))</f>
        <v/>
      </c>
      <c r="J50" s="37" t="str">
        <f t="shared" si="2"/>
        <v/>
      </c>
      <c r="K50" s="37" t="str">
        <f>IF(A50="","",IFERROR(INDEX('Snapshot History'!$U$6:$U$1005,MATCH(INT($B$5)&amp;"|"&amp;$A50,'Snapshot History'!$W$6:$W$1005,0)),""))</f>
        <v/>
      </c>
      <c r="L50" s="37" t="str">
        <f>IF(A50="","",IFERROR(INDEX('Snapshot History'!$U$6:$U$1005,MATCH(INT($B$4)&amp;"|"&amp;$A50,'Snapshot History'!$W$6:$W$1005,0)),""))</f>
        <v/>
      </c>
      <c r="M50" s="44" t="str">
        <f>IF(A50="","",IFERROR(INDEX('Snapshot History'!$V$6:$V$1005,MATCH(INT($B$5)&amp;"|"&amp;$A50,'Snapshot History'!$W$6:$W$1005,0)),""))</f>
        <v/>
      </c>
      <c r="N50" s="44" t="str">
        <f>IF(A50="","",IFERROR(INDEX('Snapshot History'!$V$6:$V$1005,MATCH(INT($B$4)&amp;"|"&amp;$A50,'Snapshot History'!$W$6:$W$1005,0)),""))</f>
        <v/>
      </c>
      <c r="O50" s="37" t="str">
        <f t="shared" si="3"/>
        <v/>
      </c>
    </row>
    <row r="51" spans="1:15" x14ac:dyDescent="0.35">
      <c r="A51" s="38" t="str">
        <f>IF('Risk Register'!A21="","",'Risk Register'!A21)</f>
        <v/>
      </c>
      <c r="B51" s="44" t="str">
        <f>IF(A51="","",'Risk Register'!B21)</f>
        <v/>
      </c>
      <c r="C51" s="37" t="str">
        <f>IF(A51="","",IFERROR(INDEX('Snapshot History'!$J$6:$J$1005,MATCH(INT($B$5)&amp;"|"&amp;$A51,'Snapshot History'!$W$6:$W$1005,0)),""))</f>
        <v/>
      </c>
      <c r="D51" s="37" t="str">
        <f>IF(A51="","",IFERROR(INDEX('Snapshot History'!$J$6:$J$1005,MATCH(INT($B$4)&amp;"|"&amp;$A51,'Snapshot History'!$W$6:$W$1005,0)),""))</f>
        <v/>
      </c>
      <c r="E51" s="37" t="str">
        <f t="shared" si="1"/>
        <v/>
      </c>
      <c r="F51" s="38" t="str">
        <f>IF(A51="","",IFERROR(INDEX('Snapshot History'!$N$6:$N$1005,MATCH(INT($B$5)&amp;"|"&amp;$A51,'Snapshot History'!$W$6:$W$1005,0)),""))</f>
        <v/>
      </c>
      <c r="G51" s="38" t="str">
        <f>IF(A51="","",IFERROR(INDEX('Snapshot History'!$N$6:$N$1005,MATCH(INT($B$4)&amp;"|"&amp;$A51,'Snapshot History'!$W$6:$W$1005,0)),""))</f>
        <v/>
      </c>
      <c r="H51" s="38" t="str">
        <f>IF(A51="","",IFERROR(INDEX('Snapshot History'!$O$6:$O$1005,MATCH(INT($B$5)&amp;"|"&amp;$A51,'Snapshot History'!$W$6:$W$1005,0)),""))</f>
        <v/>
      </c>
      <c r="I51" s="38" t="str">
        <f>IF(A51="","",IFERROR(INDEX('Snapshot History'!$O$6:$O$1005,MATCH(INT($B$4)&amp;"|"&amp;$A51,'Snapshot History'!$W$6:$W$1005,0)),""))</f>
        <v/>
      </c>
      <c r="J51" s="37" t="str">
        <f t="shared" si="2"/>
        <v/>
      </c>
      <c r="K51" s="37" t="str">
        <f>IF(A51="","",IFERROR(INDEX('Snapshot History'!$U$6:$U$1005,MATCH(INT($B$5)&amp;"|"&amp;$A51,'Snapshot History'!$W$6:$W$1005,0)),""))</f>
        <v/>
      </c>
      <c r="L51" s="37" t="str">
        <f>IF(A51="","",IFERROR(INDEX('Snapshot History'!$U$6:$U$1005,MATCH(INT($B$4)&amp;"|"&amp;$A51,'Snapshot History'!$W$6:$W$1005,0)),""))</f>
        <v/>
      </c>
      <c r="M51" s="44" t="str">
        <f>IF(A51="","",IFERROR(INDEX('Snapshot History'!$V$6:$V$1005,MATCH(INT($B$5)&amp;"|"&amp;$A51,'Snapshot History'!$W$6:$W$1005,0)),""))</f>
        <v/>
      </c>
      <c r="N51" s="44" t="str">
        <f>IF(A51="","",IFERROR(INDEX('Snapshot History'!$V$6:$V$1005,MATCH(INT($B$4)&amp;"|"&amp;$A51,'Snapshot History'!$W$6:$W$1005,0)),""))</f>
        <v/>
      </c>
      <c r="O51" s="37" t="str">
        <f t="shared" si="3"/>
        <v/>
      </c>
    </row>
    <row r="52" spans="1:15" x14ac:dyDescent="0.35">
      <c r="A52" s="38" t="str">
        <f>IF('Risk Register'!A22="","",'Risk Register'!A22)</f>
        <v/>
      </c>
      <c r="B52" s="44" t="str">
        <f>IF(A52="","",'Risk Register'!B22)</f>
        <v/>
      </c>
      <c r="C52" s="37" t="str">
        <f>IF(A52="","",IFERROR(INDEX('Snapshot History'!$J$6:$J$1005,MATCH(INT($B$5)&amp;"|"&amp;$A52,'Snapshot History'!$W$6:$W$1005,0)),""))</f>
        <v/>
      </c>
      <c r="D52" s="37" t="str">
        <f>IF(A52="","",IFERROR(INDEX('Snapshot History'!$J$6:$J$1005,MATCH(INT($B$4)&amp;"|"&amp;$A52,'Snapshot History'!$W$6:$W$1005,0)),""))</f>
        <v/>
      </c>
      <c r="E52" s="37" t="str">
        <f t="shared" si="1"/>
        <v/>
      </c>
      <c r="F52" s="38" t="str">
        <f>IF(A52="","",IFERROR(INDEX('Snapshot History'!$N$6:$N$1005,MATCH(INT($B$5)&amp;"|"&amp;$A52,'Snapshot History'!$W$6:$W$1005,0)),""))</f>
        <v/>
      </c>
      <c r="G52" s="38" t="str">
        <f>IF(A52="","",IFERROR(INDEX('Snapshot History'!$N$6:$N$1005,MATCH(INT($B$4)&amp;"|"&amp;$A52,'Snapshot History'!$W$6:$W$1005,0)),""))</f>
        <v/>
      </c>
      <c r="H52" s="38" t="str">
        <f>IF(A52="","",IFERROR(INDEX('Snapshot History'!$O$6:$O$1005,MATCH(INT($B$5)&amp;"|"&amp;$A52,'Snapshot History'!$W$6:$W$1005,0)),""))</f>
        <v/>
      </c>
      <c r="I52" s="38" t="str">
        <f>IF(A52="","",IFERROR(INDEX('Snapshot History'!$O$6:$O$1005,MATCH(INT($B$4)&amp;"|"&amp;$A52,'Snapshot History'!$W$6:$W$1005,0)),""))</f>
        <v/>
      </c>
      <c r="J52" s="37" t="str">
        <f t="shared" si="2"/>
        <v/>
      </c>
      <c r="K52" s="37" t="str">
        <f>IF(A52="","",IFERROR(INDEX('Snapshot History'!$U$6:$U$1005,MATCH(INT($B$5)&amp;"|"&amp;$A52,'Snapshot History'!$W$6:$W$1005,0)),""))</f>
        <v/>
      </c>
      <c r="L52" s="37" t="str">
        <f>IF(A52="","",IFERROR(INDEX('Snapshot History'!$U$6:$U$1005,MATCH(INT($B$4)&amp;"|"&amp;$A52,'Snapshot History'!$W$6:$W$1005,0)),""))</f>
        <v/>
      </c>
      <c r="M52" s="44" t="str">
        <f>IF(A52="","",IFERROR(INDEX('Snapshot History'!$V$6:$V$1005,MATCH(INT($B$5)&amp;"|"&amp;$A52,'Snapshot History'!$W$6:$W$1005,0)),""))</f>
        <v/>
      </c>
      <c r="N52" s="44" t="str">
        <f>IF(A52="","",IFERROR(INDEX('Snapshot History'!$V$6:$V$1005,MATCH(INT($B$4)&amp;"|"&amp;$A52,'Snapshot History'!$W$6:$W$1005,0)),""))</f>
        <v/>
      </c>
      <c r="O52" s="37" t="str">
        <f t="shared" si="3"/>
        <v/>
      </c>
    </row>
    <row r="53" spans="1:15" x14ac:dyDescent="0.35">
      <c r="A53" s="38" t="str">
        <f>IF('Risk Register'!A23="","",'Risk Register'!A23)</f>
        <v/>
      </c>
      <c r="B53" s="44" t="str">
        <f>IF(A53="","",'Risk Register'!B23)</f>
        <v/>
      </c>
      <c r="C53" s="37" t="str">
        <f>IF(A53="","",IFERROR(INDEX('Snapshot History'!$J$6:$J$1005,MATCH(INT($B$5)&amp;"|"&amp;$A53,'Snapshot History'!$W$6:$W$1005,0)),""))</f>
        <v/>
      </c>
      <c r="D53" s="37" t="str">
        <f>IF(A53="","",IFERROR(INDEX('Snapshot History'!$J$6:$J$1005,MATCH(INT($B$4)&amp;"|"&amp;$A53,'Snapshot History'!$W$6:$W$1005,0)),""))</f>
        <v/>
      </c>
      <c r="E53" s="37" t="str">
        <f t="shared" si="1"/>
        <v/>
      </c>
      <c r="F53" s="38" t="str">
        <f>IF(A53="","",IFERROR(INDEX('Snapshot History'!$N$6:$N$1005,MATCH(INT($B$5)&amp;"|"&amp;$A53,'Snapshot History'!$W$6:$W$1005,0)),""))</f>
        <v/>
      </c>
      <c r="G53" s="38" t="str">
        <f>IF(A53="","",IFERROR(INDEX('Snapshot History'!$N$6:$N$1005,MATCH(INT($B$4)&amp;"|"&amp;$A53,'Snapshot History'!$W$6:$W$1005,0)),""))</f>
        <v/>
      </c>
      <c r="H53" s="38" t="str">
        <f>IF(A53="","",IFERROR(INDEX('Snapshot History'!$O$6:$O$1005,MATCH(INT($B$5)&amp;"|"&amp;$A53,'Snapshot History'!$W$6:$W$1005,0)),""))</f>
        <v/>
      </c>
      <c r="I53" s="38" t="str">
        <f>IF(A53="","",IFERROR(INDEX('Snapshot History'!$O$6:$O$1005,MATCH(INT($B$4)&amp;"|"&amp;$A53,'Snapshot History'!$W$6:$W$1005,0)),""))</f>
        <v/>
      </c>
      <c r="J53" s="37" t="str">
        <f t="shared" si="2"/>
        <v/>
      </c>
      <c r="K53" s="37" t="str">
        <f>IF(A53="","",IFERROR(INDEX('Snapshot History'!$U$6:$U$1005,MATCH(INT($B$5)&amp;"|"&amp;$A53,'Snapshot History'!$W$6:$W$1005,0)),""))</f>
        <v/>
      </c>
      <c r="L53" s="37" t="str">
        <f>IF(A53="","",IFERROR(INDEX('Snapshot History'!$U$6:$U$1005,MATCH(INT($B$4)&amp;"|"&amp;$A53,'Snapshot History'!$W$6:$W$1005,0)),""))</f>
        <v/>
      </c>
      <c r="M53" s="44" t="str">
        <f>IF(A53="","",IFERROR(INDEX('Snapshot History'!$V$6:$V$1005,MATCH(INT($B$5)&amp;"|"&amp;$A53,'Snapshot History'!$W$6:$W$1005,0)),""))</f>
        <v/>
      </c>
      <c r="N53" s="44" t="str">
        <f>IF(A53="","",IFERROR(INDEX('Snapshot History'!$V$6:$V$1005,MATCH(INT($B$4)&amp;"|"&amp;$A53,'Snapshot History'!$W$6:$W$1005,0)),""))</f>
        <v/>
      </c>
      <c r="O53" s="37" t="str">
        <f t="shared" si="3"/>
        <v/>
      </c>
    </row>
    <row r="54" spans="1:15" x14ac:dyDescent="0.35">
      <c r="A54" s="38" t="str">
        <f>IF('Risk Register'!A24="","",'Risk Register'!A24)</f>
        <v/>
      </c>
      <c r="B54" s="44" t="str">
        <f>IF(A54="","",'Risk Register'!B24)</f>
        <v/>
      </c>
      <c r="C54" s="37" t="str">
        <f>IF(A54="","",IFERROR(INDEX('Snapshot History'!$J$6:$J$1005,MATCH(INT($B$5)&amp;"|"&amp;$A54,'Snapshot History'!$W$6:$W$1005,0)),""))</f>
        <v/>
      </c>
      <c r="D54" s="37" t="str">
        <f>IF(A54="","",IFERROR(INDEX('Snapshot History'!$J$6:$J$1005,MATCH(INT($B$4)&amp;"|"&amp;$A54,'Snapshot History'!$W$6:$W$1005,0)),""))</f>
        <v/>
      </c>
      <c r="E54" s="37" t="str">
        <f t="shared" si="1"/>
        <v/>
      </c>
      <c r="F54" s="38" t="str">
        <f>IF(A54="","",IFERROR(INDEX('Snapshot History'!$N$6:$N$1005,MATCH(INT($B$5)&amp;"|"&amp;$A54,'Snapshot History'!$W$6:$W$1005,0)),""))</f>
        <v/>
      </c>
      <c r="G54" s="38" t="str">
        <f>IF(A54="","",IFERROR(INDEX('Snapshot History'!$N$6:$N$1005,MATCH(INT($B$4)&amp;"|"&amp;$A54,'Snapshot History'!$W$6:$W$1005,0)),""))</f>
        <v/>
      </c>
      <c r="H54" s="38" t="str">
        <f>IF(A54="","",IFERROR(INDEX('Snapshot History'!$O$6:$O$1005,MATCH(INT($B$5)&amp;"|"&amp;$A54,'Snapshot History'!$W$6:$W$1005,0)),""))</f>
        <v/>
      </c>
      <c r="I54" s="38" t="str">
        <f>IF(A54="","",IFERROR(INDEX('Snapshot History'!$O$6:$O$1005,MATCH(INT($B$4)&amp;"|"&amp;$A54,'Snapshot History'!$W$6:$W$1005,0)),""))</f>
        <v/>
      </c>
      <c r="J54" s="37" t="str">
        <f t="shared" si="2"/>
        <v/>
      </c>
      <c r="K54" s="37" t="str">
        <f>IF(A54="","",IFERROR(INDEX('Snapshot History'!$U$6:$U$1005,MATCH(INT($B$5)&amp;"|"&amp;$A54,'Snapshot History'!$W$6:$W$1005,0)),""))</f>
        <v/>
      </c>
      <c r="L54" s="37" t="str">
        <f>IF(A54="","",IFERROR(INDEX('Snapshot History'!$U$6:$U$1005,MATCH(INT($B$4)&amp;"|"&amp;$A54,'Snapshot History'!$W$6:$W$1005,0)),""))</f>
        <v/>
      </c>
      <c r="M54" s="44" t="str">
        <f>IF(A54="","",IFERROR(INDEX('Snapshot History'!$V$6:$V$1005,MATCH(INT($B$5)&amp;"|"&amp;$A54,'Snapshot History'!$W$6:$W$1005,0)),""))</f>
        <v/>
      </c>
      <c r="N54" s="44" t="str">
        <f>IF(A54="","",IFERROR(INDEX('Snapshot History'!$V$6:$V$1005,MATCH(INT($B$4)&amp;"|"&amp;$A54,'Snapshot History'!$W$6:$W$1005,0)),""))</f>
        <v/>
      </c>
      <c r="O54" s="37" t="str">
        <f t="shared" si="3"/>
        <v/>
      </c>
    </row>
    <row r="55" spans="1:15" x14ac:dyDescent="0.35">
      <c r="A55" s="38" t="str">
        <f>IF('Risk Register'!A25="","",'Risk Register'!A25)</f>
        <v/>
      </c>
      <c r="B55" s="44" t="str">
        <f>IF(A55="","",'Risk Register'!B25)</f>
        <v/>
      </c>
      <c r="C55" s="37" t="str">
        <f>IF(A55="","",IFERROR(INDEX('Snapshot History'!$J$6:$J$1005,MATCH(INT($B$5)&amp;"|"&amp;$A55,'Snapshot History'!$W$6:$W$1005,0)),""))</f>
        <v/>
      </c>
      <c r="D55" s="37" t="str">
        <f>IF(A55="","",IFERROR(INDEX('Snapshot History'!$J$6:$J$1005,MATCH(INT($B$4)&amp;"|"&amp;$A55,'Snapshot History'!$W$6:$W$1005,0)),""))</f>
        <v/>
      </c>
      <c r="E55" s="37" t="str">
        <f t="shared" si="1"/>
        <v/>
      </c>
      <c r="F55" s="38" t="str">
        <f>IF(A55="","",IFERROR(INDEX('Snapshot History'!$N$6:$N$1005,MATCH(INT($B$5)&amp;"|"&amp;$A55,'Snapshot History'!$W$6:$W$1005,0)),""))</f>
        <v/>
      </c>
      <c r="G55" s="38" t="str">
        <f>IF(A55="","",IFERROR(INDEX('Snapshot History'!$N$6:$N$1005,MATCH(INT($B$4)&amp;"|"&amp;$A55,'Snapshot History'!$W$6:$W$1005,0)),""))</f>
        <v/>
      </c>
      <c r="H55" s="38" t="str">
        <f>IF(A55="","",IFERROR(INDEX('Snapshot History'!$O$6:$O$1005,MATCH(INT($B$5)&amp;"|"&amp;$A55,'Snapshot History'!$W$6:$W$1005,0)),""))</f>
        <v/>
      </c>
      <c r="I55" s="38" t="str">
        <f>IF(A55="","",IFERROR(INDEX('Snapshot History'!$O$6:$O$1005,MATCH(INT($B$4)&amp;"|"&amp;$A55,'Snapshot History'!$W$6:$W$1005,0)),""))</f>
        <v/>
      </c>
      <c r="J55" s="37" t="str">
        <f t="shared" si="2"/>
        <v/>
      </c>
      <c r="K55" s="37" t="str">
        <f>IF(A55="","",IFERROR(INDEX('Snapshot History'!$U$6:$U$1005,MATCH(INT($B$5)&amp;"|"&amp;$A55,'Snapshot History'!$W$6:$W$1005,0)),""))</f>
        <v/>
      </c>
      <c r="L55" s="37" t="str">
        <f>IF(A55="","",IFERROR(INDEX('Snapshot History'!$U$6:$U$1005,MATCH(INT($B$4)&amp;"|"&amp;$A55,'Snapshot History'!$W$6:$W$1005,0)),""))</f>
        <v/>
      </c>
      <c r="M55" s="44" t="str">
        <f>IF(A55="","",IFERROR(INDEX('Snapshot History'!$V$6:$V$1005,MATCH(INT($B$5)&amp;"|"&amp;$A55,'Snapshot History'!$W$6:$W$1005,0)),""))</f>
        <v/>
      </c>
      <c r="N55" s="44" t="str">
        <f>IF(A55="","",IFERROR(INDEX('Snapshot History'!$V$6:$V$1005,MATCH(INT($B$4)&amp;"|"&amp;$A55,'Snapshot History'!$W$6:$W$1005,0)),""))</f>
        <v/>
      </c>
      <c r="O55" s="37" t="str">
        <f t="shared" si="3"/>
        <v/>
      </c>
    </row>
    <row r="56" spans="1:15" x14ac:dyDescent="0.35">
      <c r="A56" s="38" t="str">
        <f>IF('Risk Register'!A26="","",'Risk Register'!A26)</f>
        <v/>
      </c>
      <c r="B56" s="44" t="str">
        <f>IF(A56="","",'Risk Register'!B26)</f>
        <v/>
      </c>
      <c r="C56" s="37" t="str">
        <f>IF(A56="","",IFERROR(INDEX('Snapshot History'!$J$6:$J$1005,MATCH(INT($B$5)&amp;"|"&amp;$A56,'Snapshot History'!$W$6:$W$1005,0)),""))</f>
        <v/>
      </c>
      <c r="D56" s="37" t="str">
        <f>IF(A56="","",IFERROR(INDEX('Snapshot History'!$J$6:$J$1005,MATCH(INT($B$4)&amp;"|"&amp;$A56,'Snapshot History'!$W$6:$W$1005,0)),""))</f>
        <v/>
      </c>
      <c r="E56" s="37" t="str">
        <f t="shared" si="1"/>
        <v/>
      </c>
      <c r="F56" s="38" t="str">
        <f>IF(A56="","",IFERROR(INDEX('Snapshot History'!$N$6:$N$1005,MATCH(INT($B$5)&amp;"|"&amp;$A56,'Snapshot History'!$W$6:$W$1005,0)),""))</f>
        <v/>
      </c>
      <c r="G56" s="38" t="str">
        <f>IF(A56="","",IFERROR(INDEX('Snapshot History'!$N$6:$N$1005,MATCH(INT($B$4)&amp;"|"&amp;$A56,'Snapshot History'!$W$6:$W$1005,0)),""))</f>
        <v/>
      </c>
      <c r="H56" s="38" t="str">
        <f>IF(A56="","",IFERROR(INDEX('Snapshot History'!$O$6:$O$1005,MATCH(INT($B$5)&amp;"|"&amp;$A56,'Snapshot History'!$W$6:$W$1005,0)),""))</f>
        <v/>
      </c>
      <c r="I56" s="38" t="str">
        <f>IF(A56="","",IFERROR(INDEX('Snapshot History'!$O$6:$O$1005,MATCH(INT($B$4)&amp;"|"&amp;$A56,'Snapshot History'!$W$6:$W$1005,0)),""))</f>
        <v/>
      </c>
      <c r="J56" s="37" t="str">
        <f t="shared" si="2"/>
        <v/>
      </c>
      <c r="K56" s="37" t="str">
        <f>IF(A56="","",IFERROR(INDEX('Snapshot History'!$U$6:$U$1005,MATCH(INT($B$5)&amp;"|"&amp;$A56,'Snapshot History'!$W$6:$W$1005,0)),""))</f>
        <v/>
      </c>
      <c r="L56" s="37" t="str">
        <f>IF(A56="","",IFERROR(INDEX('Snapshot History'!$U$6:$U$1005,MATCH(INT($B$4)&amp;"|"&amp;$A56,'Snapshot History'!$W$6:$W$1005,0)),""))</f>
        <v/>
      </c>
      <c r="M56" s="44" t="str">
        <f>IF(A56="","",IFERROR(INDEX('Snapshot History'!$V$6:$V$1005,MATCH(INT($B$5)&amp;"|"&amp;$A56,'Snapshot History'!$W$6:$W$1005,0)),""))</f>
        <v/>
      </c>
      <c r="N56" s="44" t="str">
        <f>IF(A56="","",IFERROR(INDEX('Snapshot History'!$V$6:$V$1005,MATCH(INT($B$4)&amp;"|"&amp;$A56,'Snapshot History'!$W$6:$W$1005,0)),""))</f>
        <v/>
      </c>
      <c r="O56" s="37" t="str">
        <f t="shared" si="3"/>
        <v/>
      </c>
    </row>
    <row r="57" spans="1:15" x14ac:dyDescent="0.35">
      <c r="A57" s="38" t="str">
        <f>IF('Risk Register'!A27="","",'Risk Register'!A27)</f>
        <v/>
      </c>
      <c r="B57" s="44" t="str">
        <f>IF(A57="","",'Risk Register'!B27)</f>
        <v/>
      </c>
      <c r="C57" s="37" t="str">
        <f>IF(A57="","",IFERROR(INDEX('Snapshot History'!$J$6:$J$1005,MATCH(INT($B$5)&amp;"|"&amp;$A57,'Snapshot History'!$W$6:$W$1005,0)),""))</f>
        <v/>
      </c>
      <c r="D57" s="37" t="str">
        <f>IF(A57="","",IFERROR(INDEX('Snapshot History'!$J$6:$J$1005,MATCH(INT($B$4)&amp;"|"&amp;$A57,'Snapshot History'!$W$6:$W$1005,0)),""))</f>
        <v/>
      </c>
      <c r="E57" s="37" t="str">
        <f t="shared" si="1"/>
        <v/>
      </c>
      <c r="F57" s="38" t="str">
        <f>IF(A57="","",IFERROR(INDEX('Snapshot History'!$N$6:$N$1005,MATCH(INT($B$5)&amp;"|"&amp;$A57,'Snapshot History'!$W$6:$W$1005,0)),""))</f>
        <v/>
      </c>
      <c r="G57" s="38" t="str">
        <f>IF(A57="","",IFERROR(INDEX('Snapshot History'!$N$6:$N$1005,MATCH(INT($B$4)&amp;"|"&amp;$A57,'Snapshot History'!$W$6:$W$1005,0)),""))</f>
        <v/>
      </c>
      <c r="H57" s="38" t="str">
        <f>IF(A57="","",IFERROR(INDEX('Snapshot History'!$O$6:$O$1005,MATCH(INT($B$5)&amp;"|"&amp;$A57,'Snapshot History'!$W$6:$W$1005,0)),""))</f>
        <v/>
      </c>
      <c r="I57" s="38" t="str">
        <f>IF(A57="","",IFERROR(INDEX('Snapshot History'!$O$6:$O$1005,MATCH(INT($B$4)&amp;"|"&amp;$A57,'Snapshot History'!$W$6:$W$1005,0)),""))</f>
        <v/>
      </c>
      <c r="J57" s="37" t="str">
        <f t="shared" si="2"/>
        <v/>
      </c>
      <c r="K57" s="37" t="str">
        <f>IF(A57="","",IFERROR(INDEX('Snapshot History'!$U$6:$U$1005,MATCH(INT($B$5)&amp;"|"&amp;$A57,'Snapshot History'!$W$6:$W$1005,0)),""))</f>
        <v/>
      </c>
      <c r="L57" s="37" t="str">
        <f>IF(A57="","",IFERROR(INDEX('Snapshot History'!$U$6:$U$1005,MATCH(INT($B$4)&amp;"|"&amp;$A57,'Snapshot History'!$W$6:$W$1005,0)),""))</f>
        <v/>
      </c>
      <c r="M57" s="44" t="str">
        <f>IF(A57="","",IFERROR(INDEX('Snapshot History'!$V$6:$V$1005,MATCH(INT($B$5)&amp;"|"&amp;$A57,'Snapshot History'!$W$6:$W$1005,0)),""))</f>
        <v/>
      </c>
      <c r="N57" s="44" t="str">
        <f>IF(A57="","",IFERROR(INDEX('Snapshot History'!$V$6:$V$1005,MATCH(INT($B$4)&amp;"|"&amp;$A57,'Snapshot History'!$W$6:$W$1005,0)),""))</f>
        <v/>
      </c>
      <c r="O57" s="37" t="str">
        <f t="shared" si="3"/>
        <v/>
      </c>
    </row>
    <row r="58" spans="1:15" x14ac:dyDescent="0.35">
      <c r="A58" s="38" t="str">
        <f>IF('Risk Register'!A28="","",'Risk Register'!A28)</f>
        <v/>
      </c>
      <c r="B58" s="44" t="str">
        <f>IF(A58="","",'Risk Register'!B28)</f>
        <v/>
      </c>
      <c r="C58" s="37" t="str">
        <f>IF(A58="","",IFERROR(INDEX('Snapshot History'!$J$6:$J$1005,MATCH(INT($B$5)&amp;"|"&amp;$A58,'Snapshot History'!$W$6:$W$1005,0)),""))</f>
        <v/>
      </c>
      <c r="D58" s="37" t="str">
        <f>IF(A58="","",IFERROR(INDEX('Snapshot History'!$J$6:$J$1005,MATCH(INT($B$4)&amp;"|"&amp;$A58,'Snapshot History'!$W$6:$W$1005,0)),""))</f>
        <v/>
      </c>
      <c r="E58" s="37" t="str">
        <f t="shared" si="1"/>
        <v/>
      </c>
      <c r="F58" s="38" t="str">
        <f>IF(A58="","",IFERROR(INDEX('Snapshot History'!$N$6:$N$1005,MATCH(INT($B$5)&amp;"|"&amp;$A58,'Snapshot History'!$W$6:$W$1005,0)),""))</f>
        <v/>
      </c>
      <c r="G58" s="38" t="str">
        <f>IF(A58="","",IFERROR(INDEX('Snapshot History'!$N$6:$N$1005,MATCH(INT($B$4)&amp;"|"&amp;$A58,'Snapshot History'!$W$6:$W$1005,0)),""))</f>
        <v/>
      </c>
      <c r="H58" s="38" t="str">
        <f>IF(A58="","",IFERROR(INDEX('Snapshot History'!$O$6:$O$1005,MATCH(INT($B$5)&amp;"|"&amp;$A58,'Snapshot History'!$W$6:$W$1005,0)),""))</f>
        <v/>
      </c>
      <c r="I58" s="38" t="str">
        <f>IF(A58="","",IFERROR(INDEX('Snapshot History'!$O$6:$O$1005,MATCH(INT($B$4)&amp;"|"&amp;$A58,'Snapshot History'!$W$6:$W$1005,0)),""))</f>
        <v/>
      </c>
      <c r="J58" s="37" t="str">
        <f t="shared" si="2"/>
        <v/>
      </c>
      <c r="K58" s="37" t="str">
        <f>IF(A58="","",IFERROR(INDEX('Snapshot History'!$U$6:$U$1005,MATCH(INT($B$5)&amp;"|"&amp;$A58,'Snapshot History'!$W$6:$W$1005,0)),""))</f>
        <v/>
      </c>
      <c r="L58" s="37" t="str">
        <f>IF(A58="","",IFERROR(INDEX('Snapshot History'!$U$6:$U$1005,MATCH(INT($B$4)&amp;"|"&amp;$A58,'Snapshot History'!$W$6:$W$1005,0)),""))</f>
        <v/>
      </c>
      <c r="M58" s="44" t="str">
        <f>IF(A58="","",IFERROR(INDEX('Snapshot History'!$V$6:$V$1005,MATCH(INT($B$5)&amp;"|"&amp;$A58,'Snapshot History'!$W$6:$W$1005,0)),""))</f>
        <v/>
      </c>
      <c r="N58" s="44" t="str">
        <f>IF(A58="","",IFERROR(INDEX('Snapshot History'!$V$6:$V$1005,MATCH(INT($B$4)&amp;"|"&amp;$A58,'Snapshot History'!$W$6:$W$1005,0)),""))</f>
        <v/>
      </c>
      <c r="O58" s="37" t="str">
        <f t="shared" si="3"/>
        <v/>
      </c>
    </row>
    <row r="59" spans="1:15" x14ac:dyDescent="0.35">
      <c r="A59" s="38" t="str">
        <f>IF('Risk Register'!A29="","",'Risk Register'!A29)</f>
        <v/>
      </c>
      <c r="B59" s="44" t="str">
        <f>IF(A59="","",'Risk Register'!B29)</f>
        <v/>
      </c>
      <c r="C59" s="37" t="str">
        <f>IF(A59="","",IFERROR(INDEX('Snapshot History'!$J$6:$J$1005,MATCH(INT($B$5)&amp;"|"&amp;$A59,'Snapshot History'!$W$6:$W$1005,0)),""))</f>
        <v/>
      </c>
      <c r="D59" s="37" t="str">
        <f>IF(A59="","",IFERROR(INDEX('Snapshot History'!$J$6:$J$1005,MATCH(INT($B$4)&amp;"|"&amp;$A59,'Snapshot History'!$W$6:$W$1005,0)),""))</f>
        <v/>
      </c>
      <c r="E59" s="37" t="str">
        <f t="shared" si="1"/>
        <v/>
      </c>
      <c r="F59" s="38" t="str">
        <f>IF(A59="","",IFERROR(INDEX('Snapshot History'!$N$6:$N$1005,MATCH(INT($B$5)&amp;"|"&amp;$A59,'Snapshot History'!$W$6:$W$1005,0)),""))</f>
        <v/>
      </c>
      <c r="G59" s="38" t="str">
        <f>IF(A59="","",IFERROR(INDEX('Snapshot History'!$N$6:$N$1005,MATCH(INT($B$4)&amp;"|"&amp;$A59,'Snapshot History'!$W$6:$W$1005,0)),""))</f>
        <v/>
      </c>
      <c r="H59" s="38" t="str">
        <f>IF(A59="","",IFERROR(INDEX('Snapshot History'!$O$6:$O$1005,MATCH(INT($B$5)&amp;"|"&amp;$A59,'Snapshot History'!$W$6:$W$1005,0)),""))</f>
        <v/>
      </c>
      <c r="I59" s="38" t="str">
        <f>IF(A59="","",IFERROR(INDEX('Snapshot History'!$O$6:$O$1005,MATCH(INT($B$4)&amp;"|"&amp;$A59,'Snapshot History'!$W$6:$W$1005,0)),""))</f>
        <v/>
      </c>
      <c r="J59" s="37" t="str">
        <f t="shared" si="2"/>
        <v/>
      </c>
      <c r="K59" s="37" t="str">
        <f>IF(A59="","",IFERROR(INDEX('Snapshot History'!$U$6:$U$1005,MATCH(INT($B$5)&amp;"|"&amp;$A59,'Snapshot History'!$W$6:$W$1005,0)),""))</f>
        <v/>
      </c>
      <c r="L59" s="37" t="str">
        <f>IF(A59="","",IFERROR(INDEX('Snapshot History'!$U$6:$U$1005,MATCH(INT($B$4)&amp;"|"&amp;$A59,'Snapshot History'!$W$6:$W$1005,0)),""))</f>
        <v/>
      </c>
      <c r="M59" s="44" t="str">
        <f>IF(A59="","",IFERROR(INDEX('Snapshot History'!$V$6:$V$1005,MATCH(INT($B$5)&amp;"|"&amp;$A59,'Snapshot History'!$W$6:$W$1005,0)),""))</f>
        <v/>
      </c>
      <c r="N59" s="44" t="str">
        <f>IF(A59="","",IFERROR(INDEX('Snapshot History'!$V$6:$V$1005,MATCH(INT($B$4)&amp;"|"&amp;$A59,'Snapshot History'!$W$6:$W$1005,0)),""))</f>
        <v/>
      </c>
      <c r="O59" s="37" t="str">
        <f t="shared" si="3"/>
        <v/>
      </c>
    </row>
    <row r="60" spans="1:15" x14ac:dyDescent="0.35">
      <c r="A60" s="38" t="str">
        <f>IF('Risk Register'!A30="","",'Risk Register'!A30)</f>
        <v/>
      </c>
      <c r="B60" s="44" t="str">
        <f>IF(A60="","",'Risk Register'!B30)</f>
        <v/>
      </c>
      <c r="C60" s="37" t="str">
        <f>IF(A60="","",IFERROR(INDEX('Snapshot History'!$J$6:$J$1005,MATCH(INT($B$5)&amp;"|"&amp;$A60,'Snapshot History'!$W$6:$W$1005,0)),""))</f>
        <v/>
      </c>
      <c r="D60" s="37" t="str">
        <f>IF(A60="","",IFERROR(INDEX('Snapshot History'!$J$6:$J$1005,MATCH(INT($B$4)&amp;"|"&amp;$A60,'Snapshot History'!$W$6:$W$1005,0)),""))</f>
        <v/>
      </c>
      <c r="E60" s="37" t="str">
        <f t="shared" si="1"/>
        <v/>
      </c>
      <c r="F60" s="38" t="str">
        <f>IF(A60="","",IFERROR(INDEX('Snapshot History'!$N$6:$N$1005,MATCH(INT($B$5)&amp;"|"&amp;$A60,'Snapshot History'!$W$6:$W$1005,0)),""))</f>
        <v/>
      </c>
      <c r="G60" s="38" t="str">
        <f>IF(A60="","",IFERROR(INDEX('Snapshot History'!$N$6:$N$1005,MATCH(INT($B$4)&amp;"|"&amp;$A60,'Snapshot History'!$W$6:$W$1005,0)),""))</f>
        <v/>
      </c>
      <c r="H60" s="38" t="str">
        <f>IF(A60="","",IFERROR(INDEX('Snapshot History'!$O$6:$O$1005,MATCH(INT($B$5)&amp;"|"&amp;$A60,'Snapshot History'!$W$6:$W$1005,0)),""))</f>
        <v/>
      </c>
      <c r="I60" s="38" t="str">
        <f>IF(A60="","",IFERROR(INDEX('Snapshot History'!$O$6:$O$1005,MATCH(INT($B$4)&amp;"|"&amp;$A60,'Snapshot History'!$W$6:$W$1005,0)),""))</f>
        <v/>
      </c>
      <c r="J60" s="37" t="str">
        <f t="shared" si="2"/>
        <v/>
      </c>
      <c r="K60" s="37" t="str">
        <f>IF(A60="","",IFERROR(INDEX('Snapshot History'!$U$6:$U$1005,MATCH(INT($B$5)&amp;"|"&amp;$A60,'Snapshot History'!$W$6:$W$1005,0)),""))</f>
        <v/>
      </c>
      <c r="L60" s="37" t="str">
        <f>IF(A60="","",IFERROR(INDEX('Snapshot History'!$U$6:$U$1005,MATCH(INT($B$4)&amp;"|"&amp;$A60,'Snapshot History'!$W$6:$W$1005,0)),""))</f>
        <v/>
      </c>
      <c r="M60" s="44" t="str">
        <f>IF(A60="","",IFERROR(INDEX('Snapshot History'!$V$6:$V$1005,MATCH(INT($B$5)&amp;"|"&amp;$A60,'Snapshot History'!$W$6:$W$1005,0)),""))</f>
        <v/>
      </c>
      <c r="N60" s="44" t="str">
        <f>IF(A60="","",IFERROR(INDEX('Snapshot History'!$V$6:$V$1005,MATCH(INT($B$4)&amp;"|"&amp;$A60,'Snapshot History'!$W$6:$W$1005,0)),""))</f>
        <v/>
      </c>
      <c r="O60" s="37" t="str">
        <f t="shared" si="3"/>
        <v/>
      </c>
    </row>
    <row r="61" spans="1:15" x14ac:dyDescent="0.35">
      <c r="A61" s="38" t="str">
        <f>IF('Risk Register'!A31="","",'Risk Register'!A31)</f>
        <v/>
      </c>
      <c r="B61" s="44" t="str">
        <f>IF(A61="","",'Risk Register'!B31)</f>
        <v/>
      </c>
      <c r="C61" s="37" t="str">
        <f>IF(A61="","",IFERROR(INDEX('Snapshot History'!$J$6:$J$1005,MATCH(INT($B$5)&amp;"|"&amp;$A61,'Snapshot History'!$W$6:$W$1005,0)),""))</f>
        <v/>
      </c>
      <c r="D61" s="37" t="str">
        <f>IF(A61="","",IFERROR(INDEX('Snapshot History'!$J$6:$J$1005,MATCH(INT($B$4)&amp;"|"&amp;$A61,'Snapshot History'!$W$6:$W$1005,0)),""))</f>
        <v/>
      </c>
      <c r="E61" s="37" t="str">
        <f t="shared" si="1"/>
        <v/>
      </c>
      <c r="F61" s="38" t="str">
        <f>IF(A61="","",IFERROR(INDEX('Snapshot History'!$N$6:$N$1005,MATCH(INT($B$5)&amp;"|"&amp;$A61,'Snapshot History'!$W$6:$W$1005,0)),""))</f>
        <v/>
      </c>
      <c r="G61" s="38" t="str">
        <f>IF(A61="","",IFERROR(INDEX('Snapshot History'!$N$6:$N$1005,MATCH(INT($B$4)&amp;"|"&amp;$A61,'Snapshot History'!$W$6:$W$1005,0)),""))</f>
        <v/>
      </c>
      <c r="H61" s="38" t="str">
        <f>IF(A61="","",IFERROR(INDEX('Snapshot History'!$O$6:$O$1005,MATCH(INT($B$5)&amp;"|"&amp;$A61,'Snapshot History'!$W$6:$W$1005,0)),""))</f>
        <v/>
      </c>
      <c r="I61" s="38" t="str">
        <f>IF(A61="","",IFERROR(INDEX('Snapshot History'!$O$6:$O$1005,MATCH(INT($B$4)&amp;"|"&amp;$A61,'Snapshot History'!$W$6:$W$1005,0)),""))</f>
        <v/>
      </c>
      <c r="J61" s="37" t="str">
        <f t="shared" si="2"/>
        <v/>
      </c>
      <c r="K61" s="37" t="str">
        <f>IF(A61="","",IFERROR(INDEX('Snapshot History'!$U$6:$U$1005,MATCH(INT($B$5)&amp;"|"&amp;$A61,'Snapshot History'!$W$6:$W$1005,0)),""))</f>
        <v/>
      </c>
      <c r="L61" s="37" t="str">
        <f>IF(A61="","",IFERROR(INDEX('Snapshot History'!$U$6:$U$1005,MATCH(INT($B$4)&amp;"|"&amp;$A61,'Snapshot History'!$W$6:$W$1005,0)),""))</f>
        <v/>
      </c>
      <c r="M61" s="44" t="str">
        <f>IF(A61="","",IFERROR(INDEX('Snapshot History'!$V$6:$V$1005,MATCH(INT($B$5)&amp;"|"&amp;$A61,'Snapshot History'!$W$6:$W$1005,0)),""))</f>
        <v/>
      </c>
      <c r="N61" s="44" t="str">
        <f>IF(A61="","",IFERROR(INDEX('Snapshot History'!$V$6:$V$1005,MATCH(INT($B$4)&amp;"|"&amp;$A61,'Snapshot History'!$W$6:$W$1005,0)),""))</f>
        <v/>
      </c>
      <c r="O61" s="37" t="str">
        <f t="shared" si="3"/>
        <v/>
      </c>
    </row>
    <row r="62" spans="1:15" x14ac:dyDescent="0.35">
      <c r="A62" s="38" t="str">
        <f>IF('Risk Register'!A32="","",'Risk Register'!A32)</f>
        <v/>
      </c>
      <c r="B62" s="44" t="str">
        <f>IF(A62="","",'Risk Register'!B32)</f>
        <v/>
      </c>
      <c r="C62" s="37" t="str">
        <f>IF(A62="","",IFERROR(INDEX('Snapshot History'!$J$6:$J$1005,MATCH(INT($B$5)&amp;"|"&amp;$A62,'Snapshot History'!$W$6:$W$1005,0)),""))</f>
        <v/>
      </c>
      <c r="D62" s="37" t="str">
        <f>IF(A62="","",IFERROR(INDEX('Snapshot History'!$J$6:$J$1005,MATCH(INT($B$4)&amp;"|"&amp;$A62,'Snapshot History'!$W$6:$W$1005,0)),""))</f>
        <v/>
      </c>
      <c r="E62" s="37" t="str">
        <f t="shared" si="1"/>
        <v/>
      </c>
      <c r="F62" s="38" t="str">
        <f>IF(A62="","",IFERROR(INDEX('Snapshot History'!$N$6:$N$1005,MATCH(INT($B$5)&amp;"|"&amp;$A62,'Snapshot History'!$W$6:$W$1005,0)),""))</f>
        <v/>
      </c>
      <c r="G62" s="38" t="str">
        <f>IF(A62="","",IFERROR(INDEX('Snapshot History'!$N$6:$N$1005,MATCH(INT($B$4)&amp;"|"&amp;$A62,'Snapshot History'!$W$6:$W$1005,0)),""))</f>
        <v/>
      </c>
      <c r="H62" s="38" t="str">
        <f>IF(A62="","",IFERROR(INDEX('Snapshot History'!$O$6:$O$1005,MATCH(INT($B$5)&amp;"|"&amp;$A62,'Snapshot History'!$W$6:$W$1005,0)),""))</f>
        <v/>
      </c>
      <c r="I62" s="38" t="str">
        <f>IF(A62="","",IFERROR(INDEX('Snapshot History'!$O$6:$O$1005,MATCH(INT($B$4)&amp;"|"&amp;$A62,'Snapshot History'!$W$6:$W$1005,0)),""))</f>
        <v/>
      </c>
      <c r="J62" s="37" t="str">
        <f t="shared" si="2"/>
        <v/>
      </c>
      <c r="K62" s="37" t="str">
        <f>IF(A62="","",IFERROR(INDEX('Snapshot History'!$U$6:$U$1005,MATCH(INT($B$5)&amp;"|"&amp;$A62,'Snapshot History'!$W$6:$W$1005,0)),""))</f>
        <v/>
      </c>
      <c r="L62" s="37" t="str">
        <f>IF(A62="","",IFERROR(INDEX('Snapshot History'!$U$6:$U$1005,MATCH(INT($B$4)&amp;"|"&amp;$A62,'Snapshot History'!$W$6:$W$1005,0)),""))</f>
        <v/>
      </c>
      <c r="M62" s="44" t="str">
        <f>IF(A62="","",IFERROR(INDEX('Snapshot History'!$V$6:$V$1005,MATCH(INT($B$5)&amp;"|"&amp;$A62,'Snapshot History'!$W$6:$W$1005,0)),""))</f>
        <v/>
      </c>
      <c r="N62" s="44" t="str">
        <f>IF(A62="","",IFERROR(INDEX('Snapshot History'!$V$6:$V$1005,MATCH(INT($B$4)&amp;"|"&amp;$A62,'Snapshot History'!$W$6:$W$1005,0)),""))</f>
        <v/>
      </c>
      <c r="O62" s="37" t="str">
        <f t="shared" si="3"/>
        <v/>
      </c>
    </row>
    <row r="63" spans="1:15" x14ac:dyDescent="0.35">
      <c r="A63" s="38" t="str">
        <f>IF('Risk Register'!A33="","",'Risk Register'!A33)</f>
        <v/>
      </c>
      <c r="B63" s="44" t="str">
        <f>IF(A63="","",'Risk Register'!B33)</f>
        <v/>
      </c>
      <c r="C63" s="37" t="str">
        <f>IF(A63="","",IFERROR(INDEX('Snapshot History'!$J$6:$J$1005,MATCH(INT($B$5)&amp;"|"&amp;$A63,'Snapshot History'!$W$6:$W$1005,0)),""))</f>
        <v/>
      </c>
      <c r="D63" s="37" t="str">
        <f>IF(A63="","",IFERROR(INDEX('Snapshot History'!$J$6:$J$1005,MATCH(INT($B$4)&amp;"|"&amp;$A63,'Snapshot History'!$W$6:$W$1005,0)),""))</f>
        <v/>
      </c>
      <c r="E63" s="37" t="str">
        <f t="shared" si="1"/>
        <v/>
      </c>
      <c r="F63" s="38" t="str">
        <f>IF(A63="","",IFERROR(INDEX('Snapshot History'!$N$6:$N$1005,MATCH(INT($B$5)&amp;"|"&amp;$A63,'Snapshot History'!$W$6:$W$1005,0)),""))</f>
        <v/>
      </c>
      <c r="G63" s="38" t="str">
        <f>IF(A63="","",IFERROR(INDEX('Snapshot History'!$N$6:$N$1005,MATCH(INT($B$4)&amp;"|"&amp;$A63,'Snapshot History'!$W$6:$W$1005,0)),""))</f>
        <v/>
      </c>
      <c r="H63" s="38" t="str">
        <f>IF(A63="","",IFERROR(INDEX('Snapshot History'!$O$6:$O$1005,MATCH(INT($B$5)&amp;"|"&amp;$A63,'Snapshot History'!$W$6:$W$1005,0)),""))</f>
        <v/>
      </c>
      <c r="I63" s="38" t="str">
        <f>IF(A63="","",IFERROR(INDEX('Snapshot History'!$O$6:$O$1005,MATCH(INT($B$4)&amp;"|"&amp;$A63,'Snapshot History'!$W$6:$W$1005,0)),""))</f>
        <v/>
      </c>
      <c r="J63" s="37" t="str">
        <f t="shared" si="2"/>
        <v/>
      </c>
      <c r="K63" s="37" t="str">
        <f>IF(A63="","",IFERROR(INDEX('Snapshot History'!$U$6:$U$1005,MATCH(INT($B$5)&amp;"|"&amp;$A63,'Snapshot History'!$W$6:$W$1005,0)),""))</f>
        <v/>
      </c>
      <c r="L63" s="37" t="str">
        <f>IF(A63="","",IFERROR(INDEX('Snapshot History'!$U$6:$U$1005,MATCH(INT($B$4)&amp;"|"&amp;$A63,'Snapshot History'!$W$6:$W$1005,0)),""))</f>
        <v/>
      </c>
      <c r="M63" s="44" t="str">
        <f>IF(A63="","",IFERROR(INDEX('Snapshot History'!$V$6:$V$1005,MATCH(INT($B$5)&amp;"|"&amp;$A63,'Snapshot History'!$W$6:$W$1005,0)),""))</f>
        <v/>
      </c>
      <c r="N63" s="44" t="str">
        <f>IF(A63="","",IFERROR(INDEX('Snapshot History'!$V$6:$V$1005,MATCH(INT($B$4)&amp;"|"&amp;$A63,'Snapshot History'!$W$6:$W$1005,0)),""))</f>
        <v/>
      </c>
      <c r="O63" s="37" t="str">
        <f t="shared" si="3"/>
        <v/>
      </c>
    </row>
    <row r="64" spans="1:15" x14ac:dyDescent="0.35">
      <c r="A64" s="38" t="str">
        <f>IF('Risk Register'!A34="","",'Risk Register'!A34)</f>
        <v/>
      </c>
      <c r="B64" s="44" t="str">
        <f>IF(A64="","",'Risk Register'!B34)</f>
        <v/>
      </c>
      <c r="C64" s="37" t="str">
        <f>IF(A64="","",IFERROR(INDEX('Snapshot History'!$J$6:$J$1005,MATCH(INT($B$5)&amp;"|"&amp;$A64,'Snapshot History'!$W$6:$W$1005,0)),""))</f>
        <v/>
      </c>
      <c r="D64" s="37" t="str">
        <f>IF(A64="","",IFERROR(INDEX('Snapshot History'!$J$6:$J$1005,MATCH(INT($B$4)&amp;"|"&amp;$A64,'Snapshot History'!$W$6:$W$1005,0)),""))</f>
        <v/>
      </c>
      <c r="E64" s="37" t="str">
        <f t="shared" si="1"/>
        <v/>
      </c>
      <c r="F64" s="38" t="str">
        <f>IF(A64="","",IFERROR(INDEX('Snapshot History'!$N$6:$N$1005,MATCH(INT($B$5)&amp;"|"&amp;$A64,'Snapshot History'!$W$6:$W$1005,0)),""))</f>
        <v/>
      </c>
      <c r="G64" s="38" t="str">
        <f>IF(A64="","",IFERROR(INDEX('Snapshot History'!$N$6:$N$1005,MATCH(INT($B$4)&amp;"|"&amp;$A64,'Snapshot History'!$W$6:$W$1005,0)),""))</f>
        <v/>
      </c>
      <c r="H64" s="38" t="str">
        <f>IF(A64="","",IFERROR(INDEX('Snapshot History'!$O$6:$O$1005,MATCH(INT($B$5)&amp;"|"&amp;$A64,'Snapshot History'!$W$6:$W$1005,0)),""))</f>
        <v/>
      </c>
      <c r="I64" s="38" t="str">
        <f>IF(A64="","",IFERROR(INDEX('Snapshot History'!$O$6:$O$1005,MATCH(INT($B$4)&amp;"|"&amp;$A64,'Snapshot History'!$W$6:$W$1005,0)),""))</f>
        <v/>
      </c>
      <c r="J64" s="37" t="str">
        <f t="shared" si="2"/>
        <v/>
      </c>
      <c r="K64" s="37" t="str">
        <f>IF(A64="","",IFERROR(INDEX('Snapshot History'!$U$6:$U$1005,MATCH(INT($B$5)&amp;"|"&amp;$A64,'Snapshot History'!$W$6:$W$1005,0)),""))</f>
        <v/>
      </c>
      <c r="L64" s="37" t="str">
        <f>IF(A64="","",IFERROR(INDEX('Snapshot History'!$U$6:$U$1005,MATCH(INT($B$4)&amp;"|"&amp;$A64,'Snapshot History'!$W$6:$W$1005,0)),""))</f>
        <v/>
      </c>
      <c r="M64" s="44" t="str">
        <f>IF(A64="","",IFERROR(INDEX('Snapshot History'!$V$6:$V$1005,MATCH(INT($B$5)&amp;"|"&amp;$A64,'Snapshot History'!$W$6:$W$1005,0)),""))</f>
        <v/>
      </c>
      <c r="N64" s="44" t="str">
        <f>IF(A64="","",IFERROR(INDEX('Snapshot History'!$V$6:$V$1005,MATCH(INT($B$4)&amp;"|"&amp;$A64,'Snapshot History'!$W$6:$W$1005,0)),""))</f>
        <v/>
      </c>
      <c r="O64" s="37" t="str">
        <f t="shared" si="3"/>
        <v/>
      </c>
    </row>
    <row r="65" spans="1:15" x14ac:dyDescent="0.35">
      <c r="A65" s="38" t="str">
        <f>IF('Risk Register'!A35="","",'Risk Register'!A35)</f>
        <v/>
      </c>
      <c r="B65" s="44" t="str">
        <f>IF(A65="","",'Risk Register'!B35)</f>
        <v/>
      </c>
      <c r="C65" s="37" t="str">
        <f>IF(A65="","",IFERROR(INDEX('Snapshot History'!$J$6:$J$1005,MATCH(INT($B$5)&amp;"|"&amp;$A65,'Snapshot History'!$W$6:$W$1005,0)),""))</f>
        <v/>
      </c>
      <c r="D65" s="37" t="str">
        <f>IF(A65="","",IFERROR(INDEX('Snapshot History'!$J$6:$J$1005,MATCH(INT($B$4)&amp;"|"&amp;$A65,'Snapshot History'!$W$6:$W$1005,0)),""))</f>
        <v/>
      </c>
      <c r="E65" s="37" t="str">
        <f t="shared" si="1"/>
        <v/>
      </c>
      <c r="F65" s="38" t="str">
        <f>IF(A65="","",IFERROR(INDEX('Snapshot History'!$N$6:$N$1005,MATCH(INT($B$5)&amp;"|"&amp;$A65,'Snapshot History'!$W$6:$W$1005,0)),""))</f>
        <v/>
      </c>
      <c r="G65" s="38" t="str">
        <f>IF(A65="","",IFERROR(INDEX('Snapshot History'!$N$6:$N$1005,MATCH(INT($B$4)&amp;"|"&amp;$A65,'Snapshot History'!$W$6:$W$1005,0)),""))</f>
        <v/>
      </c>
      <c r="H65" s="38" t="str">
        <f>IF(A65="","",IFERROR(INDEX('Snapshot History'!$O$6:$O$1005,MATCH(INT($B$5)&amp;"|"&amp;$A65,'Snapshot History'!$W$6:$W$1005,0)),""))</f>
        <v/>
      </c>
      <c r="I65" s="38" t="str">
        <f>IF(A65="","",IFERROR(INDEX('Snapshot History'!$O$6:$O$1005,MATCH(INT($B$4)&amp;"|"&amp;$A65,'Snapshot History'!$W$6:$W$1005,0)),""))</f>
        <v/>
      </c>
      <c r="J65" s="37" t="str">
        <f t="shared" si="2"/>
        <v/>
      </c>
      <c r="K65" s="37" t="str">
        <f>IF(A65="","",IFERROR(INDEX('Snapshot History'!$U$6:$U$1005,MATCH(INT($B$5)&amp;"|"&amp;$A65,'Snapshot History'!$W$6:$W$1005,0)),""))</f>
        <v/>
      </c>
      <c r="L65" s="37" t="str">
        <f>IF(A65="","",IFERROR(INDEX('Snapshot History'!$U$6:$U$1005,MATCH(INT($B$4)&amp;"|"&amp;$A65,'Snapshot History'!$W$6:$W$1005,0)),""))</f>
        <v/>
      </c>
      <c r="M65" s="44" t="str">
        <f>IF(A65="","",IFERROR(INDEX('Snapshot History'!$V$6:$V$1005,MATCH(INT($B$5)&amp;"|"&amp;$A65,'Snapshot History'!$W$6:$W$1005,0)),""))</f>
        <v/>
      </c>
      <c r="N65" s="44" t="str">
        <f>IF(A65="","",IFERROR(INDEX('Snapshot History'!$V$6:$V$1005,MATCH(INT($B$4)&amp;"|"&amp;$A65,'Snapshot History'!$W$6:$W$1005,0)),""))</f>
        <v/>
      </c>
      <c r="O65" s="37" t="str">
        <f t="shared" si="3"/>
        <v/>
      </c>
    </row>
    <row r="66" spans="1:15" x14ac:dyDescent="0.35">
      <c r="A66" s="38" t="str">
        <f>IF('Risk Register'!A36="","",'Risk Register'!A36)</f>
        <v/>
      </c>
      <c r="B66" s="44" t="str">
        <f>IF(A66="","",'Risk Register'!B36)</f>
        <v/>
      </c>
      <c r="C66" s="37" t="str">
        <f>IF(A66="","",IFERROR(INDEX('Snapshot History'!$J$6:$J$1005,MATCH(INT($B$5)&amp;"|"&amp;$A66,'Snapshot History'!$W$6:$W$1005,0)),""))</f>
        <v/>
      </c>
      <c r="D66" s="37" t="str">
        <f>IF(A66="","",IFERROR(INDEX('Snapshot History'!$J$6:$J$1005,MATCH(INT($B$4)&amp;"|"&amp;$A66,'Snapshot History'!$W$6:$W$1005,0)),""))</f>
        <v/>
      </c>
      <c r="E66" s="37" t="str">
        <f t="shared" si="1"/>
        <v/>
      </c>
      <c r="F66" s="38" t="str">
        <f>IF(A66="","",IFERROR(INDEX('Snapshot History'!$N$6:$N$1005,MATCH(INT($B$5)&amp;"|"&amp;$A66,'Snapshot History'!$W$6:$W$1005,0)),""))</f>
        <v/>
      </c>
      <c r="G66" s="38" t="str">
        <f>IF(A66="","",IFERROR(INDEX('Snapshot History'!$N$6:$N$1005,MATCH(INT($B$4)&amp;"|"&amp;$A66,'Snapshot History'!$W$6:$W$1005,0)),""))</f>
        <v/>
      </c>
      <c r="H66" s="38" t="str">
        <f>IF(A66="","",IFERROR(INDEX('Snapshot History'!$O$6:$O$1005,MATCH(INT($B$5)&amp;"|"&amp;$A66,'Snapshot History'!$W$6:$W$1005,0)),""))</f>
        <v/>
      </c>
      <c r="I66" s="38" t="str">
        <f>IF(A66="","",IFERROR(INDEX('Snapshot History'!$O$6:$O$1005,MATCH(INT($B$4)&amp;"|"&amp;$A66,'Snapshot History'!$W$6:$W$1005,0)),""))</f>
        <v/>
      </c>
      <c r="J66" s="37" t="str">
        <f t="shared" si="2"/>
        <v/>
      </c>
      <c r="K66" s="37" t="str">
        <f>IF(A66="","",IFERROR(INDEX('Snapshot History'!$U$6:$U$1005,MATCH(INT($B$5)&amp;"|"&amp;$A66,'Snapshot History'!$W$6:$W$1005,0)),""))</f>
        <v/>
      </c>
      <c r="L66" s="37" t="str">
        <f>IF(A66="","",IFERROR(INDEX('Snapshot History'!$U$6:$U$1005,MATCH(INT($B$4)&amp;"|"&amp;$A66,'Snapshot History'!$W$6:$W$1005,0)),""))</f>
        <v/>
      </c>
      <c r="M66" s="44" t="str">
        <f>IF(A66="","",IFERROR(INDEX('Snapshot History'!$V$6:$V$1005,MATCH(INT($B$5)&amp;"|"&amp;$A66,'Snapshot History'!$W$6:$W$1005,0)),""))</f>
        <v/>
      </c>
      <c r="N66" s="44" t="str">
        <f>IF(A66="","",IFERROR(INDEX('Snapshot History'!$V$6:$V$1005,MATCH(INT($B$4)&amp;"|"&amp;$A66,'Snapshot History'!$W$6:$W$1005,0)),""))</f>
        <v/>
      </c>
      <c r="O66" s="37" t="str">
        <f t="shared" si="3"/>
        <v/>
      </c>
    </row>
    <row r="67" spans="1:15" x14ac:dyDescent="0.35">
      <c r="A67" s="38" t="str">
        <f>IF('Risk Register'!A37="","",'Risk Register'!A37)</f>
        <v/>
      </c>
      <c r="B67" s="44" t="str">
        <f>IF(A67="","",'Risk Register'!B37)</f>
        <v/>
      </c>
      <c r="C67" s="37" t="str">
        <f>IF(A67="","",IFERROR(INDEX('Snapshot History'!$J$6:$J$1005,MATCH(INT($B$5)&amp;"|"&amp;$A67,'Snapshot History'!$W$6:$W$1005,0)),""))</f>
        <v/>
      </c>
      <c r="D67" s="37" t="str">
        <f>IF(A67="","",IFERROR(INDEX('Snapshot History'!$J$6:$J$1005,MATCH(INT($B$4)&amp;"|"&amp;$A67,'Snapshot History'!$W$6:$W$1005,0)),""))</f>
        <v/>
      </c>
      <c r="E67" s="37" t="str">
        <f t="shared" si="1"/>
        <v/>
      </c>
      <c r="F67" s="38" t="str">
        <f>IF(A67="","",IFERROR(INDEX('Snapshot History'!$N$6:$N$1005,MATCH(INT($B$5)&amp;"|"&amp;$A67,'Snapshot History'!$W$6:$W$1005,0)),""))</f>
        <v/>
      </c>
      <c r="G67" s="38" t="str">
        <f>IF(A67="","",IFERROR(INDEX('Snapshot History'!$N$6:$N$1005,MATCH(INT($B$4)&amp;"|"&amp;$A67,'Snapshot History'!$W$6:$W$1005,0)),""))</f>
        <v/>
      </c>
      <c r="H67" s="38" t="str">
        <f>IF(A67="","",IFERROR(INDEX('Snapshot History'!$O$6:$O$1005,MATCH(INT($B$5)&amp;"|"&amp;$A67,'Snapshot History'!$W$6:$W$1005,0)),""))</f>
        <v/>
      </c>
      <c r="I67" s="38" t="str">
        <f>IF(A67="","",IFERROR(INDEX('Snapshot History'!$O$6:$O$1005,MATCH(INT($B$4)&amp;"|"&amp;$A67,'Snapshot History'!$W$6:$W$1005,0)),""))</f>
        <v/>
      </c>
      <c r="J67" s="37" t="str">
        <f t="shared" si="2"/>
        <v/>
      </c>
      <c r="K67" s="37" t="str">
        <f>IF(A67="","",IFERROR(INDEX('Snapshot History'!$U$6:$U$1005,MATCH(INT($B$5)&amp;"|"&amp;$A67,'Snapshot History'!$W$6:$W$1005,0)),""))</f>
        <v/>
      </c>
      <c r="L67" s="37" t="str">
        <f>IF(A67="","",IFERROR(INDEX('Snapshot History'!$U$6:$U$1005,MATCH(INT($B$4)&amp;"|"&amp;$A67,'Snapshot History'!$W$6:$W$1005,0)),""))</f>
        <v/>
      </c>
      <c r="M67" s="44" t="str">
        <f>IF(A67="","",IFERROR(INDEX('Snapshot History'!$V$6:$V$1005,MATCH(INT($B$5)&amp;"|"&amp;$A67,'Snapshot History'!$W$6:$W$1005,0)),""))</f>
        <v/>
      </c>
      <c r="N67" s="44" t="str">
        <f>IF(A67="","",IFERROR(INDEX('Snapshot History'!$V$6:$V$1005,MATCH(INT($B$4)&amp;"|"&amp;$A67,'Snapshot History'!$W$6:$W$1005,0)),""))</f>
        <v/>
      </c>
      <c r="O67" s="37" t="str">
        <f t="shared" si="3"/>
        <v/>
      </c>
    </row>
    <row r="68" spans="1:15" x14ac:dyDescent="0.35">
      <c r="A68" s="38" t="str">
        <f>IF('Risk Register'!A38="","",'Risk Register'!A38)</f>
        <v/>
      </c>
      <c r="B68" s="44" t="str">
        <f>IF(A68="","",'Risk Register'!B38)</f>
        <v/>
      </c>
      <c r="C68" s="37" t="str">
        <f>IF(A68="","",IFERROR(INDEX('Snapshot History'!$J$6:$J$1005,MATCH(INT($B$5)&amp;"|"&amp;$A68,'Snapshot History'!$W$6:$W$1005,0)),""))</f>
        <v/>
      </c>
      <c r="D68" s="37" t="str">
        <f>IF(A68="","",IFERROR(INDEX('Snapshot History'!$J$6:$J$1005,MATCH(INT($B$4)&amp;"|"&amp;$A68,'Snapshot History'!$W$6:$W$1005,0)),""))</f>
        <v/>
      </c>
      <c r="E68" s="37" t="str">
        <f t="shared" ref="E68:E99" si="4">IF(OR(C68="",D68=""),"",D68-C68)</f>
        <v/>
      </c>
      <c r="F68" s="38" t="str">
        <f>IF(A68="","",IFERROR(INDEX('Snapshot History'!$N$6:$N$1005,MATCH(INT($B$5)&amp;"|"&amp;$A68,'Snapshot History'!$W$6:$W$1005,0)),""))</f>
        <v/>
      </c>
      <c r="G68" s="38" t="str">
        <f>IF(A68="","",IFERROR(INDEX('Snapshot History'!$N$6:$N$1005,MATCH(INT($B$4)&amp;"|"&amp;$A68,'Snapshot History'!$W$6:$W$1005,0)),""))</f>
        <v/>
      </c>
      <c r="H68" s="38" t="str">
        <f>IF(A68="","",IFERROR(INDEX('Snapshot History'!$O$6:$O$1005,MATCH(INT($B$5)&amp;"|"&amp;$A68,'Snapshot History'!$W$6:$W$1005,0)),""))</f>
        <v/>
      </c>
      <c r="I68" s="38" t="str">
        <f>IF(A68="","",IFERROR(INDEX('Snapshot History'!$O$6:$O$1005,MATCH(INT($B$4)&amp;"|"&amp;$A68,'Snapshot History'!$W$6:$W$1005,0)),""))</f>
        <v/>
      </c>
      <c r="J68" s="37" t="str">
        <f t="shared" ref="J68:J99" si="5">IF(A68="","",IF(AND(C68="",D68=""),"Not in either snapshot",IF(C68="","New in current",IF(D68="","Not in current",IF(E68&gt;0,"Worsened",IF(E68&lt;0,"Improved",IF(OR(F68&lt;&gt;G68,H68&lt;&gt;I68),"Status changed","Unchanged")))))))</f>
        <v/>
      </c>
      <c r="K68" s="37" t="str">
        <f>IF(A68="","",IFERROR(INDEX('Snapshot History'!$U$6:$U$1005,MATCH(INT($B$5)&amp;"|"&amp;$A68,'Snapshot History'!$W$6:$W$1005,0)),""))</f>
        <v/>
      </c>
      <c r="L68" s="37" t="str">
        <f>IF(A68="","",IFERROR(INDEX('Snapshot History'!$U$6:$U$1005,MATCH(INT($B$4)&amp;"|"&amp;$A68,'Snapshot History'!$W$6:$W$1005,0)),""))</f>
        <v/>
      </c>
      <c r="M68" s="44" t="str">
        <f>IF(A68="","",IFERROR(INDEX('Snapshot History'!$V$6:$V$1005,MATCH(INT($B$5)&amp;"|"&amp;$A68,'Snapshot History'!$W$6:$W$1005,0)),""))</f>
        <v/>
      </c>
      <c r="N68" s="44" t="str">
        <f>IF(A68="","",IFERROR(INDEX('Snapshot History'!$V$6:$V$1005,MATCH(INT($B$4)&amp;"|"&amp;$A68,'Snapshot History'!$W$6:$W$1005,0)),""))</f>
        <v/>
      </c>
      <c r="O68" s="37" t="str">
        <f t="shared" ref="O68:O99" si="6">IF(A68="","",IF(OR(C68="",D68=""),"Not comparable (composition)",IF(K68&lt;&gt;L68,"Appetite version changed",IF(M68&lt;&gt;N68,"Assessment basis changed","Like-for-like"))))</f>
        <v/>
      </c>
    </row>
    <row r="69" spans="1:15" x14ac:dyDescent="0.35">
      <c r="A69" s="38" t="str">
        <f>IF('Risk Register'!A39="","",'Risk Register'!A39)</f>
        <v/>
      </c>
      <c r="B69" s="44" t="str">
        <f>IF(A69="","",'Risk Register'!B39)</f>
        <v/>
      </c>
      <c r="C69" s="37" t="str">
        <f>IF(A69="","",IFERROR(INDEX('Snapshot History'!$J$6:$J$1005,MATCH(INT($B$5)&amp;"|"&amp;$A69,'Snapshot History'!$W$6:$W$1005,0)),""))</f>
        <v/>
      </c>
      <c r="D69" s="37" t="str">
        <f>IF(A69="","",IFERROR(INDEX('Snapshot History'!$J$6:$J$1005,MATCH(INT($B$4)&amp;"|"&amp;$A69,'Snapshot History'!$W$6:$W$1005,0)),""))</f>
        <v/>
      </c>
      <c r="E69" s="37" t="str">
        <f t="shared" si="4"/>
        <v/>
      </c>
      <c r="F69" s="38" t="str">
        <f>IF(A69="","",IFERROR(INDEX('Snapshot History'!$N$6:$N$1005,MATCH(INT($B$5)&amp;"|"&amp;$A69,'Snapshot History'!$W$6:$W$1005,0)),""))</f>
        <v/>
      </c>
      <c r="G69" s="38" t="str">
        <f>IF(A69="","",IFERROR(INDEX('Snapshot History'!$N$6:$N$1005,MATCH(INT($B$4)&amp;"|"&amp;$A69,'Snapshot History'!$W$6:$W$1005,0)),""))</f>
        <v/>
      </c>
      <c r="H69" s="38" t="str">
        <f>IF(A69="","",IFERROR(INDEX('Snapshot History'!$O$6:$O$1005,MATCH(INT($B$5)&amp;"|"&amp;$A69,'Snapshot History'!$W$6:$W$1005,0)),""))</f>
        <v/>
      </c>
      <c r="I69" s="38" t="str">
        <f>IF(A69="","",IFERROR(INDEX('Snapshot History'!$O$6:$O$1005,MATCH(INT($B$4)&amp;"|"&amp;$A69,'Snapshot History'!$W$6:$W$1005,0)),""))</f>
        <v/>
      </c>
      <c r="J69" s="37" t="str">
        <f t="shared" si="5"/>
        <v/>
      </c>
      <c r="K69" s="37" t="str">
        <f>IF(A69="","",IFERROR(INDEX('Snapshot History'!$U$6:$U$1005,MATCH(INT($B$5)&amp;"|"&amp;$A69,'Snapshot History'!$W$6:$W$1005,0)),""))</f>
        <v/>
      </c>
      <c r="L69" s="37" t="str">
        <f>IF(A69="","",IFERROR(INDEX('Snapshot History'!$U$6:$U$1005,MATCH(INT($B$4)&amp;"|"&amp;$A69,'Snapshot History'!$W$6:$W$1005,0)),""))</f>
        <v/>
      </c>
      <c r="M69" s="44" t="str">
        <f>IF(A69="","",IFERROR(INDEX('Snapshot History'!$V$6:$V$1005,MATCH(INT($B$5)&amp;"|"&amp;$A69,'Snapshot History'!$W$6:$W$1005,0)),""))</f>
        <v/>
      </c>
      <c r="N69" s="44" t="str">
        <f>IF(A69="","",IFERROR(INDEX('Snapshot History'!$V$6:$V$1005,MATCH(INT($B$4)&amp;"|"&amp;$A69,'Snapshot History'!$W$6:$W$1005,0)),""))</f>
        <v/>
      </c>
      <c r="O69" s="37" t="str">
        <f t="shared" si="6"/>
        <v/>
      </c>
    </row>
    <row r="70" spans="1:15" x14ac:dyDescent="0.35">
      <c r="A70" s="38" t="str">
        <f>IF('Risk Register'!A40="","",'Risk Register'!A40)</f>
        <v/>
      </c>
      <c r="B70" s="44" t="str">
        <f>IF(A70="","",'Risk Register'!B40)</f>
        <v/>
      </c>
      <c r="C70" s="37" t="str">
        <f>IF(A70="","",IFERROR(INDEX('Snapshot History'!$J$6:$J$1005,MATCH(INT($B$5)&amp;"|"&amp;$A70,'Snapshot History'!$W$6:$W$1005,0)),""))</f>
        <v/>
      </c>
      <c r="D70" s="37" t="str">
        <f>IF(A70="","",IFERROR(INDEX('Snapshot History'!$J$6:$J$1005,MATCH(INT($B$4)&amp;"|"&amp;$A70,'Snapshot History'!$W$6:$W$1005,0)),""))</f>
        <v/>
      </c>
      <c r="E70" s="37" t="str">
        <f t="shared" si="4"/>
        <v/>
      </c>
      <c r="F70" s="38" t="str">
        <f>IF(A70="","",IFERROR(INDEX('Snapshot History'!$N$6:$N$1005,MATCH(INT($B$5)&amp;"|"&amp;$A70,'Snapshot History'!$W$6:$W$1005,0)),""))</f>
        <v/>
      </c>
      <c r="G70" s="38" t="str">
        <f>IF(A70="","",IFERROR(INDEX('Snapshot History'!$N$6:$N$1005,MATCH(INT($B$4)&amp;"|"&amp;$A70,'Snapshot History'!$W$6:$W$1005,0)),""))</f>
        <v/>
      </c>
      <c r="H70" s="38" t="str">
        <f>IF(A70="","",IFERROR(INDEX('Snapshot History'!$O$6:$O$1005,MATCH(INT($B$5)&amp;"|"&amp;$A70,'Snapshot History'!$W$6:$W$1005,0)),""))</f>
        <v/>
      </c>
      <c r="I70" s="38" t="str">
        <f>IF(A70="","",IFERROR(INDEX('Snapshot History'!$O$6:$O$1005,MATCH(INT($B$4)&amp;"|"&amp;$A70,'Snapshot History'!$W$6:$W$1005,0)),""))</f>
        <v/>
      </c>
      <c r="J70" s="37" t="str">
        <f t="shared" si="5"/>
        <v/>
      </c>
      <c r="K70" s="37" t="str">
        <f>IF(A70="","",IFERROR(INDEX('Snapshot History'!$U$6:$U$1005,MATCH(INT($B$5)&amp;"|"&amp;$A70,'Snapshot History'!$W$6:$W$1005,0)),""))</f>
        <v/>
      </c>
      <c r="L70" s="37" t="str">
        <f>IF(A70="","",IFERROR(INDEX('Snapshot History'!$U$6:$U$1005,MATCH(INT($B$4)&amp;"|"&amp;$A70,'Snapshot History'!$W$6:$W$1005,0)),""))</f>
        <v/>
      </c>
      <c r="M70" s="44" t="str">
        <f>IF(A70="","",IFERROR(INDEX('Snapshot History'!$V$6:$V$1005,MATCH(INT($B$5)&amp;"|"&amp;$A70,'Snapshot History'!$W$6:$W$1005,0)),""))</f>
        <v/>
      </c>
      <c r="N70" s="44" t="str">
        <f>IF(A70="","",IFERROR(INDEX('Snapshot History'!$V$6:$V$1005,MATCH(INT($B$4)&amp;"|"&amp;$A70,'Snapshot History'!$W$6:$W$1005,0)),""))</f>
        <v/>
      </c>
      <c r="O70" s="37" t="str">
        <f t="shared" si="6"/>
        <v/>
      </c>
    </row>
    <row r="71" spans="1:15" x14ac:dyDescent="0.35">
      <c r="A71" s="38" t="str">
        <f>IF('Risk Register'!A41="","",'Risk Register'!A41)</f>
        <v/>
      </c>
      <c r="B71" s="44" t="str">
        <f>IF(A71="","",'Risk Register'!B41)</f>
        <v/>
      </c>
      <c r="C71" s="37" t="str">
        <f>IF(A71="","",IFERROR(INDEX('Snapshot History'!$J$6:$J$1005,MATCH(INT($B$5)&amp;"|"&amp;$A71,'Snapshot History'!$W$6:$W$1005,0)),""))</f>
        <v/>
      </c>
      <c r="D71" s="37" t="str">
        <f>IF(A71="","",IFERROR(INDEX('Snapshot History'!$J$6:$J$1005,MATCH(INT($B$4)&amp;"|"&amp;$A71,'Snapshot History'!$W$6:$W$1005,0)),""))</f>
        <v/>
      </c>
      <c r="E71" s="37" t="str">
        <f t="shared" si="4"/>
        <v/>
      </c>
      <c r="F71" s="38" t="str">
        <f>IF(A71="","",IFERROR(INDEX('Snapshot History'!$N$6:$N$1005,MATCH(INT($B$5)&amp;"|"&amp;$A71,'Snapshot History'!$W$6:$W$1005,0)),""))</f>
        <v/>
      </c>
      <c r="G71" s="38" t="str">
        <f>IF(A71="","",IFERROR(INDEX('Snapshot History'!$N$6:$N$1005,MATCH(INT($B$4)&amp;"|"&amp;$A71,'Snapshot History'!$W$6:$W$1005,0)),""))</f>
        <v/>
      </c>
      <c r="H71" s="38" t="str">
        <f>IF(A71="","",IFERROR(INDEX('Snapshot History'!$O$6:$O$1005,MATCH(INT($B$5)&amp;"|"&amp;$A71,'Snapshot History'!$W$6:$W$1005,0)),""))</f>
        <v/>
      </c>
      <c r="I71" s="38" t="str">
        <f>IF(A71="","",IFERROR(INDEX('Snapshot History'!$O$6:$O$1005,MATCH(INT($B$4)&amp;"|"&amp;$A71,'Snapshot History'!$W$6:$W$1005,0)),""))</f>
        <v/>
      </c>
      <c r="J71" s="37" t="str">
        <f t="shared" si="5"/>
        <v/>
      </c>
      <c r="K71" s="37" t="str">
        <f>IF(A71="","",IFERROR(INDEX('Snapshot History'!$U$6:$U$1005,MATCH(INT($B$5)&amp;"|"&amp;$A71,'Snapshot History'!$W$6:$W$1005,0)),""))</f>
        <v/>
      </c>
      <c r="L71" s="37" t="str">
        <f>IF(A71="","",IFERROR(INDEX('Snapshot History'!$U$6:$U$1005,MATCH(INT($B$4)&amp;"|"&amp;$A71,'Snapshot History'!$W$6:$W$1005,0)),""))</f>
        <v/>
      </c>
      <c r="M71" s="44" t="str">
        <f>IF(A71="","",IFERROR(INDEX('Snapshot History'!$V$6:$V$1005,MATCH(INT($B$5)&amp;"|"&amp;$A71,'Snapshot History'!$W$6:$W$1005,0)),""))</f>
        <v/>
      </c>
      <c r="N71" s="44" t="str">
        <f>IF(A71="","",IFERROR(INDEX('Snapshot History'!$V$6:$V$1005,MATCH(INT($B$4)&amp;"|"&amp;$A71,'Snapshot History'!$W$6:$W$1005,0)),""))</f>
        <v/>
      </c>
      <c r="O71" s="37" t="str">
        <f t="shared" si="6"/>
        <v/>
      </c>
    </row>
    <row r="72" spans="1:15" x14ac:dyDescent="0.35">
      <c r="A72" s="38" t="str">
        <f>IF('Risk Register'!A42="","",'Risk Register'!A42)</f>
        <v/>
      </c>
      <c r="B72" s="44" t="str">
        <f>IF(A72="","",'Risk Register'!B42)</f>
        <v/>
      </c>
      <c r="C72" s="37" t="str">
        <f>IF(A72="","",IFERROR(INDEX('Snapshot History'!$J$6:$J$1005,MATCH(INT($B$5)&amp;"|"&amp;$A72,'Snapshot History'!$W$6:$W$1005,0)),""))</f>
        <v/>
      </c>
      <c r="D72" s="37" t="str">
        <f>IF(A72="","",IFERROR(INDEX('Snapshot History'!$J$6:$J$1005,MATCH(INT($B$4)&amp;"|"&amp;$A72,'Snapshot History'!$W$6:$W$1005,0)),""))</f>
        <v/>
      </c>
      <c r="E72" s="37" t="str">
        <f t="shared" si="4"/>
        <v/>
      </c>
      <c r="F72" s="38" t="str">
        <f>IF(A72="","",IFERROR(INDEX('Snapshot History'!$N$6:$N$1005,MATCH(INT($B$5)&amp;"|"&amp;$A72,'Snapshot History'!$W$6:$W$1005,0)),""))</f>
        <v/>
      </c>
      <c r="G72" s="38" t="str">
        <f>IF(A72="","",IFERROR(INDEX('Snapshot History'!$N$6:$N$1005,MATCH(INT($B$4)&amp;"|"&amp;$A72,'Snapshot History'!$W$6:$W$1005,0)),""))</f>
        <v/>
      </c>
      <c r="H72" s="38" t="str">
        <f>IF(A72="","",IFERROR(INDEX('Snapshot History'!$O$6:$O$1005,MATCH(INT($B$5)&amp;"|"&amp;$A72,'Snapshot History'!$W$6:$W$1005,0)),""))</f>
        <v/>
      </c>
      <c r="I72" s="38" t="str">
        <f>IF(A72="","",IFERROR(INDEX('Snapshot History'!$O$6:$O$1005,MATCH(INT($B$4)&amp;"|"&amp;$A72,'Snapshot History'!$W$6:$W$1005,0)),""))</f>
        <v/>
      </c>
      <c r="J72" s="37" t="str">
        <f t="shared" si="5"/>
        <v/>
      </c>
      <c r="K72" s="37" t="str">
        <f>IF(A72="","",IFERROR(INDEX('Snapshot History'!$U$6:$U$1005,MATCH(INT($B$5)&amp;"|"&amp;$A72,'Snapshot History'!$W$6:$W$1005,0)),""))</f>
        <v/>
      </c>
      <c r="L72" s="37" t="str">
        <f>IF(A72="","",IFERROR(INDEX('Snapshot History'!$U$6:$U$1005,MATCH(INT($B$4)&amp;"|"&amp;$A72,'Snapshot History'!$W$6:$W$1005,0)),""))</f>
        <v/>
      </c>
      <c r="M72" s="44" t="str">
        <f>IF(A72="","",IFERROR(INDEX('Snapshot History'!$V$6:$V$1005,MATCH(INT($B$5)&amp;"|"&amp;$A72,'Snapshot History'!$W$6:$W$1005,0)),""))</f>
        <v/>
      </c>
      <c r="N72" s="44" t="str">
        <f>IF(A72="","",IFERROR(INDEX('Snapshot History'!$V$6:$V$1005,MATCH(INT($B$4)&amp;"|"&amp;$A72,'Snapshot History'!$W$6:$W$1005,0)),""))</f>
        <v/>
      </c>
      <c r="O72" s="37" t="str">
        <f t="shared" si="6"/>
        <v/>
      </c>
    </row>
    <row r="73" spans="1:15" x14ac:dyDescent="0.35">
      <c r="A73" s="38" t="str">
        <f>IF('Risk Register'!A43="","",'Risk Register'!A43)</f>
        <v/>
      </c>
      <c r="B73" s="44" t="str">
        <f>IF(A73="","",'Risk Register'!B43)</f>
        <v/>
      </c>
      <c r="C73" s="37" t="str">
        <f>IF(A73="","",IFERROR(INDEX('Snapshot History'!$J$6:$J$1005,MATCH(INT($B$5)&amp;"|"&amp;$A73,'Snapshot History'!$W$6:$W$1005,0)),""))</f>
        <v/>
      </c>
      <c r="D73" s="37" t="str">
        <f>IF(A73="","",IFERROR(INDEX('Snapshot History'!$J$6:$J$1005,MATCH(INT($B$4)&amp;"|"&amp;$A73,'Snapshot History'!$W$6:$W$1005,0)),""))</f>
        <v/>
      </c>
      <c r="E73" s="37" t="str">
        <f t="shared" si="4"/>
        <v/>
      </c>
      <c r="F73" s="38" t="str">
        <f>IF(A73="","",IFERROR(INDEX('Snapshot History'!$N$6:$N$1005,MATCH(INT($B$5)&amp;"|"&amp;$A73,'Snapshot History'!$W$6:$W$1005,0)),""))</f>
        <v/>
      </c>
      <c r="G73" s="38" t="str">
        <f>IF(A73="","",IFERROR(INDEX('Snapshot History'!$N$6:$N$1005,MATCH(INT($B$4)&amp;"|"&amp;$A73,'Snapshot History'!$W$6:$W$1005,0)),""))</f>
        <v/>
      </c>
      <c r="H73" s="38" t="str">
        <f>IF(A73="","",IFERROR(INDEX('Snapshot History'!$O$6:$O$1005,MATCH(INT($B$5)&amp;"|"&amp;$A73,'Snapshot History'!$W$6:$W$1005,0)),""))</f>
        <v/>
      </c>
      <c r="I73" s="38" t="str">
        <f>IF(A73="","",IFERROR(INDEX('Snapshot History'!$O$6:$O$1005,MATCH(INT($B$4)&amp;"|"&amp;$A73,'Snapshot History'!$W$6:$W$1005,0)),""))</f>
        <v/>
      </c>
      <c r="J73" s="37" t="str">
        <f t="shared" si="5"/>
        <v/>
      </c>
      <c r="K73" s="37" t="str">
        <f>IF(A73="","",IFERROR(INDEX('Snapshot History'!$U$6:$U$1005,MATCH(INT($B$5)&amp;"|"&amp;$A73,'Snapshot History'!$W$6:$W$1005,0)),""))</f>
        <v/>
      </c>
      <c r="L73" s="37" t="str">
        <f>IF(A73="","",IFERROR(INDEX('Snapshot History'!$U$6:$U$1005,MATCH(INT($B$4)&amp;"|"&amp;$A73,'Snapshot History'!$W$6:$W$1005,0)),""))</f>
        <v/>
      </c>
      <c r="M73" s="44" t="str">
        <f>IF(A73="","",IFERROR(INDEX('Snapshot History'!$V$6:$V$1005,MATCH(INT($B$5)&amp;"|"&amp;$A73,'Snapshot History'!$W$6:$W$1005,0)),""))</f>
        <v/>
      </c>
      <c r="N73" s="44" t="str">
        <f>IF(A73="","",IFERROR(INDEX('Snapshot History'!$V$6:$V$1005,MATCH(INT($B$4)&amp;"|"&amp;$A73,'Snapshot History'!$W$6:$W$1005,0)),""))</f>
        <v/>
      </c>
      <c r="O73" s="37" t="str">
        <f t="shared" si="6"/>
        <v/>
      </c>
    </row>
    <row r="74" spans="1:15" x14ac:dyDescent="0.35">
      <c r="A74" s="38" t="str">
        <f>IF('Risk Register'!A44="","",'Risk Register'!A44)</f>
        <v/>
      </c>
      <c r="B74" s="44" t="str">
        <f>IF(A74="","",'Risk Register'!B44)</f>
        <v/>
      </c>
      <c r="C74" s="37" t="str">
        <f>IF(A74="","",IFERROR(INDEX('Snapshot History'!$J$6:$J$1005,MATCH(INT($B$5)&amp;"|"&amp;$A74,'Snapshot History'!$W$6:$W$1005,0)),""))</f>
        <v/>
      </c>
      <c r="D74" s="37" t="str">
        <f>IF(A74="","",IFERROR(INDEX('Snapshot History'!$J$6:$J$1005,MATCH(INT($B$4)&amp;"|"&amp;$A74,'Snapshot History'!$W$6:$W$1005,0)),""))</f>
        <v/>
      </c>
      <c r="E74" s="37" t="str">
        <f t="shared" si="4"/>
        <v/>
      </c>
      <c r="F74" s="38" t="str">
        <f>IF(A74="","",IFERROR(INDEX('Snapshot History'!$N$6:$N$1005,MATCH(INT($B$5)&amp;"|"&amp;$A74,'Snapshot History'!$W$6:$W$1005,0)),""))</f>
        <v/>
      </c>
      <c r="G74" s="38" t="str">
        <f>IF(A74="","",IFERROR(INDEX('Snapshot History'!$N$6:$N$1005,MATCH(INT($B$4)&amp;"|"&amp;$A74,'Snapshot History'!$W$6:$W$1005,0)),""))</f>
        <v/>
      </c>
      <c r="H74" s="38" t="str">
        <f>IF(A74="","",IFERROR(INDEX('Snapshot History'!$O$6:$O$1005,MATCH(INT($B$5)&amp;"|"&amp;$A74,'Snapshot History'!$W$6:$W$1005,0)),""))</f>
        <v/>
      </c>
      <c r="I74" s="38" t="str">
        <f>IF(A74="","",IFERROR(INDEX('Snapshot History'!$O$6:$O$1005,MATCH(INT($B$4)&amp;"|"&amp;$A74,'Snapshot History'!$W$6:$W$1005,0)),""))</f>
        <v/>
      </c>
      <c r="J74" s="37" t="str">
        <f t="shared" si="5"/>
        <v/>
      </c>
      <c r="K74" s="37" t="str">
        <f>IF(A74="","",IFERROR(INDEX('Snapshot History'!$U$6:$U$1005,MATCH(INT($B$5)&amp;"|"&amp;$A74,'Snapshot History'!$W$6:$W$1005,0)),""))</f>
        <v/>
      </c>
      <c r="L74" s="37" t="str">
        <f>IF(A74="","",IFERROR(INDEX('Snapshot History'!$U$6:$U$1005,MATCH(INT($B$4)&amp;"|"&amp;$A74,'Snapshot History'!$W$6:$W$1005,0)),""))</f>
        <v/>
      </c>
      <c r="M74" s="44" t="str">
        <f>IF(A74="","",IFERROR(INDEX('Snapshot History'!$V$6:$V$1005,MATCH(INT($B$5)&amp;"|"&amp;$A74,'Snapshot History'!$W$6:$W$1005,0)),""))</f>
        <v/>
      </c>
      <c r="N74" s="44" t="str">
        <f>IF(A74="","",IFERROR(INDEX('Snapshot History'!$V$6:$V$1005,MATCH(INT($B$4)&amp;"|"&amp;$A74,'Snapshot History'!$W$6:$W$1005,0)),""))</f>
        <v/>
      </c>
      <c r="O74" s="37" t="str">
        <f t="shared" si="6"/>
        <v/>
      </c>
    </row>
    <row r="75" spans="1:15" x14ac:dyDescent="0.35">
      <c r="A75" s="38" t="str">
        <f>IF('Risk Register'!A45="","",'Risk Register'!A45)</f>
        <v/>
      </c>
      <c r="B75" s="44" t="str">
        <f>IF(A75="","",'Risk Register'!B45)</f>
        <v/>
      </c>
      <c r="C75" s="37" t="str">
        <f>IF(A75="","",IFERROR(INDEX('Snapshot History'!$J$6:$J$1005,MATCH(INT($B$5)&amp;"|"&amp;$A75,'Snapshot History'!$W$6:$W$1005,0)),""))</f>
        <v/>
      </c>
      <c r="D75" s="37" t="str">
        <f>IF(A75="","",IFERROR(INDEX('Snapshot History'!$J$6:$J$1005,MATCH(INT($B$4)&amp;"|"&amp;$A75,'Snapshot History'!$W$6:$W$1005,0)),""))</f>
        <v/>
      </c>
      <c r="E75" s="37" t="str">
        <f t="shared" si="4"/>
        <v/>
      </c>
      <c r="F75" s="38" t="str">
        <f>IF(A75="","",IFERROR(INDEX('Snapshot History'!$N$6:$N$1005,MATCH(INT($B$5)&amp;"|"&amp;$A75,'Snapshot History'!$W$6:$W$1005,0)),""))</f>
        <v/>
      </c>
      <c r="G75" s="38" t="str">
        <f>IF(A75="","",IFERROR(INDEX('Snapshot History'!$N$6:$N$1005,MATCH(INT($B$4)&amp;"|"&amp;$A75,'Snapshot History'!$W$6:$W$1005,0)),""))</f>
        <v/>
      </c>
      <c r="H75" s="38" t="str">
        <f>IF(A75="","",IFERROR(INDEX('Snapshot History'!$O$6:$O$1005,MATCH(INT($B$5)&amp;"|"&amp;$A75,'Snapshot History'!$W$6:$W$1005,0)),""))</f>
        <v/>
      </c>
      <c r="I75" s="38" t="str">
        <f>IF(A75="","",IFERROR(INDEX('Snapshot History'!$O$6:$O$1005,MATCH(INT($B$4)&amp;"|"&amp;$A75,'Snapshot History'!$W$6:$W$1005,0)),""))</f>
        <v/>
      </c>
      <c r="J75" s="37" t="str">
        <f t="shared" si="5"/>
        <v/>
      </c>
      <c r="K75" s="37" t="str">
        <f>IF(A75="","",IFERROR(INDEX('Snapshot History'!$U$6:$U$1005,MATCH(INT($B$5)&amp;"|"&amp;$A75,'Snapshot History'!$W$6:$W$1005,0)),""))</f>
        <v/>
      </c>
      <c r="L75" s="37" t="str">
        <f>IF(A75="","",IFERROR(INDEX('Snapshot History'!$U$6:$U$1005,MATCH(INT($B$4)&amp;"|"&amp;$A75,'Snapshot History'!$W$6:$W$1005,0)),""))</f>
        <v/>
      </c>
      <c r="M75" s="44" t="str">
        <f>IF(A75="","",IFERROR(INDEX('Snapshot History'!$V$6:$V$1005,MATCH(INT($B$5)&amp;"|"&amp;$A75,'Snapshot History'!$W$6:$W$1005,0)),""))</f>
        <v/>
      </c>
      <c r="N75" s="44" t="str">
        <f>IF(A75="","",IFERROR(INDEX('Snapshot History'!$V$6:$V$1005,MATCH(INT($B$4)&amp;"|"&amp;$A75,'Snapshot History'!$W$6:$W$1005,0)),""))</f>
        <v/>
      </c>
      <c r="O75" s="37" t="str">
        <f t="shared" si="6"/>
        <v/>
      </c>
    </row>
    <row r="76" spans="1:15" x14ac:dyDescent="0.35">
      <c r="A76" s="38" t="str">
        <f>IF('Risk Register'!A46="","",'Risk Register'!A46)</f>
        <v/>
      </c>
      <c r="B76" s="44" t="str">
        <f>IF(A76="","",'Risk Register'!B46)</f>
        <v/>
      </c>
      <c r="C76" s="37" t="str">
        <f>IF(A76="","",IFERROR(INDEX('Snapshot History'!$J$6:$J$1005,MATCH(INT($B$5)&amp;"|"&amp;$A76,'Snapshot History'!$W$6:$W$1005,0)),""))</f>
        <v/>
      </c>
      <c r="D76" s="37" t="str">
        <f>IF(A76="","",IFERROR(INDEX('Snapshot History'!$J$6:$J$1005,MATCH(INT($B$4)&amp;"|"&amp;$A76,'Snapshot History'!$W$6:$W$1005,0)),""))</f>
        <v/>
      </c>
      <c r="E76" s="37" t="str">
        <f t="shared" si="4"/>
        <v/>
      </c>
      <c r="F76" s="38" t="str">
        <f>IF(A76="","",IFERROR(INDEX('Snapshot History'!$N$6:$N$1005,MATCH(INT($B$5)&amp;"|"&amp;$A76,'Snapshot History'!$W$6:$W$1005,0)),""))</f>
        <v/>
      </c>
      <c r="G76" s="38" t="str">
        <f>IF(A76="","",IFERROR(INDEX('Snapshot History'!$N$6:$N$1005,MATCH(INT($B$4)&amp;"|"&amp;$A76,'Snapshot History'!$W$6:$W$1005,0)),""))</f>
        <v/>
      </c>
      <c r="H76" s="38" t="str">
        <f>IF(A76="","",IFERROR(INDEX('Snapshot History'!$O$6:$O$1005,MATCH(INT($B$5)&amp;"|"&amp;$A76,'Snapshot History'!$W$6:$W$1005,0)),""))</f>
        <v/>
      </c>
      <c r="I76" s="38" t="str">
        <f>IF(A76="","",IFERROR(INDEX('Snapshot History'!$O$6:$O$1005,MATCH(INT($B$4)&amp;"|"&amp;$A76,'Snapshot History'!$W$6:$W$1005,0)),""))</f>
        <v/>
      </c>
      <c r="J76" s="37" t="str">
        <f t="shared" si="5"/>
        <v/>
      </c>
      <c r="K76" s="37" t="str">
        <f>IF(A76="","",IFERROR(INDEX('Snapshot History'!$U$6:$U$1005,MATCH(INT($B$5)&amp;"|"&amp;$A76,'Snapshot History'!$W$6:$W$1005,0)),""))</f>
        <v/>
      </c>
      <c r="L76" s="37" t="str">
        <f>IF(A76="","",IFERROR(INDEX('Snapshot History'!$U$6:$U$1005,MATCH(INT($B$4)&amp;"|"&amp;$A76,'Snapshot History'!$W$6:$W$1005,0)),""))</f>
        <v/>
      </c>
      <c r="M76" s="44" t="str">
        <f>IF(A76="","",IFERROR(INDEX('Snapshot History'!$V$6:$V$1005,MATCH(INT($B$5)&amp;"|"&amp;$A76,'Snapshot History'!$W$6:$W$1005,0)),""))</f>
        <v/>
      </c>
      <c r="N76" s="44" t="str">
        <f>IF(A76="","",IFERROR(INDEX('Snapshot History'!$V$6:$V$1005,MATCH(INT($B$4)&amp;"|"&amp;$A76,'Snapshot History'!$W$6:$W$1005,0)),""))</f>
        <v/>
      </c>
      <c r="O76" s="37" t="str">
        <f t="shared" si="6"/>
        <v/>
      </c>
    </row>
    <row r="77" spans="1:15" x14ac:dyDescent="0.35">
      <c r="A77" s="38" t="str">
        <f>IF('Risk Register'!A47="","",'Risk Register'!A47)</f>
        <v/>
      </c>
      <c r="B77" s="44" t="str">
        <f>IF(A77="","",'Risk Register'!B47)</f>
        <v/>
      </c>
      <c r="C77" s="37" t="str">
        <f>IF(A77="","",IFERROR(INDEX('Snapshot History'!$J$6:$J$1005,MATCH(INT($B$5)&amp;"|"&amp;$A77,'Snapshot History'!$W$6:$W$1005,0)),""))</f>
        <v/>
      </c>
      <c r="D77" s="37" t="str">
        <f>IF(A77="","",IFERROR(INDEX('Snapshot History'!$J$6:$J$1005,MATCH(INT($B$4)&amp;"|"&amp;$A77,'Snapshot History'!$W$6:$W$1005,0)),""))</f>
        <v/>
      </c>
      <c r="E77" s="37" t="str">
        <f t="shared" si="4"/>
        <v/>
      </c>
      <c r="F77" s="38" t="str">
        <f>IF(A77="","",IFERROR(INDEX('Snapshot History'!$N$6:$N$1005,MATCH(INT($B$5)&amp;"|"&amp;$A77,'Snapshot History'!$W$6:$W$1005,0)),""))</f>
        <v/>
      </c>
      <c r="G77" s="38" t="str">
        <f>IF(A77="","",IFERROR(INDEX('Snapshot History'!$N$6:$N$1005,MATCH(INT($B$4)&amp;"|"&amp;$A77,'Snapshot History'!$W$6:$W$1005,0)),""))</f>
        <v/>
      </c>
      <c r="H77" s="38" t="str">
        <f>IF(A77="","",IFERROR(INDEX('Snapshot History'!$O$6:$O$1005,MATCH(INT($B$5)&amp;"|"&amp;$A77,'Snapshot History'!$W$6:$W$1005,0)),""))</f>
        <v/>
      </c>
      <c r="I77" s="38" t="str">
        <f>IF(A77="","",IFERROR(INDEX('Snapshot History'!$O$6:$O$1005,MATCH(INT($B$4)&amp;"|"&amp;$A77,'Snapshot History'!$W$6:$W$1005,0)),""))</f>
        <v/>
      </c>
      <c r="J77" s="37" t="str">
        <f t="shared" si="5"/>
        <v/>
      </c>
      <c r="K77" s="37" t="str">
        <f>IF(A77="","",IFERROR(INDEX('Snapshot History'!$U$6:$U$1005,MATCH(INT($B$5)&amp;"|"&amp;$A77,'Snapshot History'!$W$6:$W$1005,0)),""))</f>
        <v/>
      </c>
      <c r="L77" s="37" t="str">
        <f>IF(A77="","",IFERROR(INDEX('Snapshot History'!$U$6:$U$1005,MATCH(INT($B$4)&amp;"|"&amp;$A77,'Snapshot History'!$W$6:$W$1005,0)),""))</f>
        <v/>
      </c>
      <c r="M77" s="44" t="str">
        <f>IF(A77="","",IFERROR(INDEX('Snapshot History'!$V$6:$V$1005,MATCH(INT($B$5)&amp;"|"&amp;$A77,'Snapshot History'!$W$6:$W$1005,0)),""))</f>
        <v/>
      </c>
      <c r="N77" s="44" t="str">
        <f>IF(A77="","",IFERROR(INDEX('Snapshot History'!$V$6:$V$1005,MATCH(INT($B$4)&amp;"|"&amp;$A77,'Snapshot History'!$W$6:$W$1005,0)),""))</f>
        <v/>
      </c>
      <c r="O77" s="37" t="str">
        <f t="shared" si="6"/>
        <v/>
      </c>
    </row>
    <row r="78" spans="1:15" x14ac:dyDescent="0.35">
      <c r="A78" s="38" t="str">
        <f>IF('Risk Register'!A48="","",'Risk Register'!A48)</f>
        <v/>
      </c>
      <c r="B78" s="44" t="str">
        <f>IF(A78="","",'Risk Register'!B48)</f>
        <v/>
      </c>
      <c r="C78" s="37" t="str">
        <f>IF(A78="","",IFERROR(INDEX('Snapshot History'!$J$6:$J$1005,MATCH(INT($B$5)&amp;"|"&amp;$A78,'Snapshot History'!$W$6:$W$1005,0)),""))</f>
        <v/>
      </c>
      <c r="D78" s="37" t="str">
        <f>IF(A78="","",IFERROR(INDEX('Snapshot History'!$J$6:$J$1005,MATCH(INT($B$4)&amp;"|"&amp;$A78,'Snapshot History'!$W$6:$W$1005,0)),""))</f>
        <v/>
      </c>
      <c r="E78" s="37" t="str">
        <f t="shared" si="4"/>
        <v/>
      </c>
      <c r="F78" s="38" t="str">
        <f>IF(A78="","",IFERROR(INDEX('Snapshot History'!$N$6:$N$1005,MATCH(INT($B$5)&amp;"|"&amp;$A78,'Snapshot History'!$W$6:$W$1005,0)),""))</f>
        <v/>
      </c>
      <c r="G78" s="38" t="str">
        <f>IF(A78="","",IFERROR(INDEX('Snapshot History'!$N$6:$N$1005,MATCH(INT($B$4)&amp;"|"&amp;$A78,'Snapshot History'!$W$6:$W$1005,0)),""))</f>
        <v/>
      </c>
      <c r="H78" s="38" t="str">
        <f>IF(A78="","",IFERROR(INDEX('Snapshot History'!$O$6:$O$1005,MATCH(INT($B$5)&amp;"|"&amp;$A78,'Snapshot History'!$W$6:$W$1005,0)),""))</f>
        <v/>
      </c>
      <c r="I78" s="38" t="str">
        <f>IF(A78="","",IFERROR(INDEX('Snapshot History'!$O$6:$O$1005,MATCH(INT($B$4)&amp;"|"&amp;$A78,'Snapshot History'!$W$6:$W$1005,0)),""))</f>
        <v/>
      </c>
      <c r="J78" s="37" t="str">
        <f t="shared" si="5"/>
        <v/>
      </c>
      <c r="K78" s="37" t="str">
        <f>IF(A78="","",IFERROR(INDEX('Snapshot History'!$U$6:$U$1005,MATCH(INT($B$5)&amp;"|"&amp;$A78,'Snapshot History'!$W$6:$W$1005,0)),""))</f>
        <v/>
      </c>
      <c r="L78" s="37" t="str">
        <f>IF(A78="","",IFERROR(INDEX('Snapshot History'!$U$6:$U$1005,MATCH(INT($B$4)&amp;"|"&amp;$A78,'Snapshot History'!$W$6:$W$1005,0)),""))</f>
        <v/>
      </c>
      <c r="M78" s="44" t="str">
        <f>IF(A78="","",IFERROR(INDEX('Snapshot History'!$V$6:$V$1005,MATCH(INT($B$5)&amp;"|"&amp;$A78,'Snapshot History'!$W$6:$W$1005,0)),""))</f>
        <v/>
      </c>
      <c r="N78" s="44" t="str">
        <f>IF(A78="","",IFERROR(INDEX('Snapshot History'!$V$6:$V$1005,MATCH(INT($B$4)&amp;"|"&amp;$A78,'Snapshot History'!$W$6:$W$1005,0)),""))</f>
        <v/>
      </c>
      <c r="O78" s="37" t="str">
        <f t="shared" si="6"/>
        <v/>
      </c>
    </row>
    <row r="79" spans="1:15" x14ac:dyDescent="0.35">
      <c r="A79" s="38" t="str">
        <f>IF('Risk Register'!A49="","",'Risk Register'!A49)</f>
        <v/>
      </c>
      <c r="B79" s="44" t="str">
        <f>IF(A79="","",'Risk Register'!B49)</f>
        <v/>
      </c>
      <c r="C79" s="37" t="str">
        <f>IF(A79="","",IFERROR(INDEX('Snapshot History'!$J$6:$J$1005,MATCH(INT($B$5)&amp;"|"&amp;$A79,'Snapshot History'!$W$6:$W$1005,0)),""))</f>
        <v/>
      </c>
      <c r="D79" s="37" t="str">
        <f>IF(A79="","",IFERROR(INDEX('Snapshot History'!$J$6:$J$1005,MATCH(INT($B$4)&amp;"|"&amp;$A79,'Snapshot History'!$W$6:$W$1005,0)),""))</f>
        <v/>
      </c>
      <c r="E79" s="37" t="str">
        <f t="shared" si="4"/>
        <v/>
      </c>
      <c r="F79" s="38" t="str">
        <f>IF(A79="","",IFERROR(INDEX('Snapshot History'!$N$6:$N$1005,MATCH(INT($B$5)&amp;"|"&amp;$A79,'Snapshot History'!$W$6:$W$1005,0)),""))</f>
        <v/>
      </c>
      <c r="G79" s="38" t="str">
        <f>IF(A79="","",IFERROR(INDEX('Snapshot History'!$N$6:$N$1005,MATCH(INT($B$4)&amp;"|"&amp;$A79,'Snapshot History'!$W$6:$W$1005,0)),""))</f>
        <v/>
      </c>
      <c r="H79" s="38" t="str">
        <f>IF(A79="","",IFERROR(INDEX('Snapshot History'!$O$6:$O$1005,MATCH(INT($B$5)&amp;"|"&amp;$A79,'Snapshot History'!$W$6:$W$1005,0)),""))</f>
        <v/>
      </c>
      <c r="I79" s="38" t="str">
        <f>IF(A79="","",IFERROR(INDEX('Snapshot History'!$O$6:$O$1005,MATCH(INT($B$4)&amp;"|"&amp;$A79,'Snapshot History'!$W$6:$W$1005,0)),""))</f>
        <v/>
      </c>
      <c r="J79" s="37" t="str">
        <f t="shared" si="5"/>
        <v/>
      </c>
      <c r="K79" s="37" t="str">
        <f>IF(A79="","",IFERROR(INDEX('Snapshot History'!$U$6:$U$1005,MATCH(INT($B$5)&amp;"|"&amp;$A79,'Snapshot History'!$W$6:$W$1005,0)),""))</f>
        <v/>
      </c>
      <c r="L79" s="37" t="str">
        <f>IF(A79="","",IFERROR(INDEX('Snapshot History'!$U$6:$U$1005,MATCH(INT($B$4)&amp;"|"&amp;$A79,'Snapshot History'!$W$6:$W$1005,0)),""))</f>
        <v/>
      </c>
      <c r="M79" s="44" t="str">
        <f>IF(A79="","",IFERROR(INDEX('Snapshot History'!$V$6:$V$1005,MATCH(INT($B$5)&amp;"|"&amp;$A79,'Snapshot History'!$W$6:$W$1005,0)),""))</f>
        <v/>
      </c>
      <c r="N79" s="44" t="str">
        <f>IF(A79="","",IFERROR(INDEX('Snapshot History'!$V$6:$V$1005,MATCH(INT($B$4)&amp;"|"&amp;$A79,'Snapshot History'!$W$6:$W$1005,0)),""))</f>
        <v/>
      </c>
      <c r="O79" s="37" t="str">
        <f t="shared" si="6"/>
        <v/>
      </c>
    </row>
    <row r="80" spans="1:15" x14ac:dyDescent="0.35">
      <c r="A80" s="38" t="str">
        <f>IF('Risk Register'!A50="","",'Risk Register'!A50)</f>
        <v/>
      </c>
      <c r="B80" s="44" t="str">
        <f>IF(A80="","",'Risk Register'!B50)</f>
        <v/>
      </c>
      <c r="C80" s="37" t="str">
        <f>IF(A80="","",IFERROR(INDEX('Snapshot History'!$J$6:$J$1005,MATCH(INT($B$5)&amp;"|"&amp;$A80,'Snapshot History'!$W$6:$W$1005,0)),""))</f>
        <v/>
      </c>
      <c r="D80" s="37" t="str">
        <f>IF(A80="","",IFERROR(INDEX('Snapshot History'!$J$6:$J$1005,MATCH(INT($B$4)&amp;"|"&amp;$A80,'Snapshot History'!$W$6:$W$1005,0)),""))</f>
        <v/>
      </c>
      <c r="E80" s="37" t="str">
        <f t="shared" si="4"/>
        <v/>
      </c>
      <c r="F80" s="38" t="str">
        <f>IF(A80="","",IFERROR(INDEX('Snapshot History'!$N$6:$N$1005,MATCH(INT($B$5)&amp;"|"&amp;$A80,'Snapshot History'!$W$6:$W$1005,0)),""))</f>
        <v/>
      </c>
      <c r="G80" s="38" t="str">
        <f>IF(A80="","",IFERROR(INDEX('Snapshot History'!$N$6:$N$1005,MATCH(INT($B$4)&amp;"|"&amp;$A80,'Snapshot History'!$W$6:$W$1005,0)),""))</f>
        <v/>
      </c>
      <c r="H80" s="38" t="str">
        <f>IF(A80="","",IFERROR(INDEX('Snapshot History'!$O$6:$O$1005,MATCH(INT($B$5)&amp;"|"&amp;$A80,'Snapshot History'!$W$6:$W$1005,0)),""))</f>
        <v/>
      </c>
      <c r="I80" s="38" t="str">
        <f>IF(A80="","",IFERROR(INDEX('Snapshot History'!$O$6:$O$1005,MATCH(INT($B$4)&amp;"|"&amp;$A80,'Snapshot History'!$W$6:$W$1005,0)),""))</f>
        <v/>
      </c>
      <c r="J80" s="37" t="str">
        <f t="shared" si="5"/>
        <v/>
      </c>
      <c r="K80" s="37" t="str">
        <f>IF(A80="","",IFERROR(INDEX('Snapshot History'!$U$6:$U$1005,MATCH(INT($B$5)&amp;"|"&amp;$A80,'Snapshot History'!$W$6:$W$1005,0)),""))</f>
        <v/>
      </c>
      <c r="L80" s="37" t="str">
        <f>IF(A80="","",IFERROR(INDEX('Snapshot History'!$U$6:$U$1005,MATCH(INT($B$4)&amp;"|"&amp;$A80,'Snapshot History'!$W$6:$W$1005,0)),""))</f>
        <v/>
      </c>
      <c r="M80" s="44" t="str">
        <f>IF(A80="","",IFERROR(INDEX('Snapshot History'!$V$6:$V$1005,MATCH(INT($B$5)&amp;"|"&amp;$A80,'Snapshot History'!$W$6:$W$1005,0)),""))</f>
        <v/>
      </c>
      <c r="N80" s="44" t="str">
        <f>IF(A80="","",IFERROR(INDEX('Snapshot History'!$V$6:$V$1005,MATCH(INT($B$4)&amp;"|"&amp;$A80,'Snapshot History'!$W$6:$W$1005,0)),""))</f>
        <v/>
      </c>
      <c r="O80" s="37" t="str">
        <f t="shared" si="6"/>
        <v/>
      </c>
    </row>
    <row r="81" spans="1:15" x14ac:dyDescent="0.35">
      <c r="A81" s="38" t="str">
        <f>IF('Risk Register'!A51="","",'Risk Register'!A51)</f>
        <v/>
      </c>
      <c r="B81" s="44" t="str">
        <f>IF(A81="","",'Risk Register'!B51)</f>
        <v/>
      </c>
      <c r="C81" s="37" t="str">
        <f>IF(A81="","",IFERROR(INDEX('Snapshot History'!$J$6:$J$1005,MATCH(INT($B$5)&amp;"|"&amp;$A81,'Snapshot History'!$W$6:$W$1005,0)),""))</f>
        <v/>
      </c>
      <c r="D81" s="37" t="str">
        <f>IF(A81="","",IFERROR(INDEX('Snapshot History'!$J$6:$J$1005,MATCH(INT($B$4)&amp;"|"&amp;$A81,'Snapshot History'!$W$6:$W$1005,0)),""))</f>
        <v/>
      </c>
      <c r="E81" s="37" t="str">
        <f t="shared" si="4"/>
        <v/>
      </c>
      <c r="F81" s="38" t="str">
        <f>IF(A81="","",IFERROR(INDEX('Snapshot History'!$N$6:$N$1005,MATCH(INT($B$5)&amp;"|"&amp;$A81,'Snapshot History'!$W$6:$W$1005,0)),""))</f>
        <v/>
      </c>
      <c r="G81" s="38" t="str">
        <f>IF(A81="","",IFERROR(INDEX('Snapshot History'!$N$6:$N$1005,MATCH(INT($B$4)&amp;"|"&amp;$A81,'Snapshot History'!$W$6:$W$1005,0)),""))</f>
        <v/>
      </c>
      <c r="H81" s="38" t="str">
        <f>IF(A81="","",IFERROR(INDEX('Snapshot History'!$O$6:$O$1005,MATCH(INT($B$5)&amp;"|"&amp;$A81,'Snapshot History'!$W$6:$W$1005,0)),""))</f>
        <v/>
      </c>
      <c r="I81" s="38" t="str">
        <f>IF(A81="","",IFERROR(INDEX('Snapshot History'!$O$6:$O$1005,MATCH(INT($B$4)&amp;"|"&amp;$A81,'Snapshot History'!$W$6:$W$1005,0)),""))</f>
        <v/>
      </c>
      <c r="J81" s="37" t="str">
        <f t="shared" si="5"/>
        <v/>
      </c>
      <c r="K81" s="37" t="str">
        <f>IF(A81="","",IFERROR(INDEX('Snapshot History'!$U$6:$U$1005,MATCH(INT($B$5)&amp;"|"&amp;$A81,'Snapshot History'!$W$6:$W$1005,0)),""))</f>
        <v/>
      </c>
      <c r="L81" s="37" t="str">
        <f>IF(A81="","",IFERROR(INDEX('Snapshot History'!$U$6:$U$1005,MATCH(INT($B$4)&amp;"|"&amp;$A81,'Snapshot History'!$W$6:$W$1005,0)),""))</f>
        <v/>
      </c>
      <c r="M81" s="44" t="str">
        <f>IF(A81="","",IFERROR(INDEX('Snapshot History'!$V$6:$V$1005,MATCH(INT($B$5)&amp;"|"&amp;$A81,'Snapshot History'!$W$6:$W$1005,0)),""))</f>
        <v/>
      </c>
      <c r="N81" s="44" t="str">
        <f>IF(A81="","",IFERROR(INDEX('Snapshot History'!$V$6:$V$1005,MATCH(INT($B$4)&amp;"|"&amp;$A81,'Snapshot History'!$W$6:$W$1005,0)),""))</f>
        <v/>
      </c>
      <c r="O81" s="37" t="str">
        <f t="shared" si="6"/>
        <v/>
      </c>
    </row>
    <row r="82" spans="1:15" x14ac:dyDescent="0.35">
      <c r="A82" s="38" t="str">
        <f>IF('Risk Register'!A52="","",'Risk Register'!A52)</f>
        <v/>
      </c>
      <c r="B82" s="44" t="str">
        <f>IF(A82="","",'Risk Register'!B52)</f>
        <v/>
      </c>
      <c r="C82" s="37" t="str">
        <f>IF(A82="","",IFERROR(INDEX('Snapshot History'!$J$6:$J$1005,MATCH(INT($B$5)&amp;"|"&amp;$A82,'Snapshot History'!$W$6:$W$1005,0)),""))</f>
        <v/>
      </c>
      <c r="D82" s="37" t="str">
        <f>IF(A82="","",IFERROR(INDEX('Snapshot History'!$J$6:$J$1005,MATCH(INT($B$4)&amp;"|"&amp;$A82,'Snapshot History'!$W$6:$W$1005,0)),""))</f>
        <v/>
      </c>
      <c r="E82" s="37" t="str">
        <f t="shared" si="4"/>
        <v/>
      </c>
      <c r="F82" s="38" t="str">
        <f>IF(A82="","",IFERROR(INDEX('Snapshot History'!$N$6:$N$1005,MATCH(INT($B$5)&amp;"|"&amp;$A82,'Snapshot History'!$W$6:$W$1005,0)),""))</f>
        <v/>
      </c>
      <c r="G82" s="38" t="str">
        <f>IF(A82="","",IFERROR(INDEX('Snapshot History'!$N$6:$N$1005,MATCH(INT($B$4)&amp;"|"&amp;$A82,'Snapshot History'!$W$6:$W$1005,0)),""))</f>
        <v/>
      </c>
      <c r="H82" s="38" t="str">
        <f>IF(A82="","",IFERROR(INDEX('Snapshot History'!$O$6:$O$1005,MATCH(INT($B$5)&amp;"|"&amp;$A82,'Snapshot History'!$W$6:$W$1005,0)),""))</f>
        <v/>
      </c>
      <c r="I82" s="38" t="str">
        <f>IF(A82="","",IFERROR(INDEX('Snapshot History'!$O$6:$O$1005,MATCH(INT($B$4)&amp;"|"&amp;$A82,'Snapshot History'!$W$6:$W$1005,0)),""))</f>
        <v/>
      </c>
      <c r="J82" s="37" t="str">
        <f t="shared" si="5"/>
        <v/>
      </c>
      <c r="K82" s="37" t="str">
        <f>IF(A82="","",IFERROR(INDEX('Snapshot History'!$U$6:$U$1005,MATCH(INT($B$5)&amp;"|"&amp;$A82,'Snapshot History'!$W$6:$W$1005,0)),""))</f>
        <v/>
      </c>
      <c r="L82" s="37" t="str">
        <f>IF(A82="","",IFERROR(INDEX('Snapshot History'!$U$6:$U$1005,MATCH(INT($B$4)&amp;"|"&amp;$A82,'Snapshot History'!$W$6:$W$1005,0)),""))</f>
        <v/>
      </c>
      <c r="M82" s="44" t="str">
        <f>IF(A82="","",IFERROR(INDEX('Snapshot History'!$V$6:$V$1005,MATCH(INT($B$5)&amp;"|"&amp;$A82,'Snapshot History'!$W$6:$W$1005,0)),""))</f>
        <v/>
      </c>
      <c r="N82" s="44" t="str">
        <f>IF(A82="","",IFERROR(INDEX('Snapshot History'!$V$6:$V$1005,MATCH(INT($B$4)&amp;"|"&amp;$A82,'Snapshot History'!$W$6:$W$1005,0)),""))</f>
        <v/>
      </c>
      <c r="O82" s="37" t="str">
        <f t="shared" si="6"/>
        <v/>
      </c>
    </row>
    <row r="83" spans="1:15" x14ac:dyDescent="0.35">
      <c r="A83" s="38" t="str">
        <f>IF('Risk Register'!A53="","",'Risk Register'!A53)</f>
        <v/>
      </c>
      <c r="B83" s="44" t="str">
        <f>IF(A83="","",'Risk Register'!B53)</f>
        <v/>
      </c>
      <c r="C83" s="37" t="str">
        <f>IF(A83="","",IFERROR(INDEX('Snapshot History'!$J$6:$J$1005,MATCH(INT($B$5)&amp;"|"&amp;$A83,'Snapshot History'!$W$6:$W$1005,0)),""))</f>
        <v/>
      </c>
      <c r="D83" s="37" t="str">
        <f>IF(A83="","",IFERROR(INDEX('Snapshot History'!$J$6:$J$1005,MATCH(INT($B$4)&amp;"|"&amp;$A83,'Snapshot History'!$W$6:$W$1005,0)),""))</f>
        <v/>
      </c>
      <c r="E83" s="37" t="str">
        <f t="shared" si="4"/>
        <v/>
      </c>
      <c r="F83" s="38" t="str">
        <f>IF(A83="","",IFERROR(INDEX('Snapshot History'!$N$6:$N$1005,MATCH(INT($B$5)&amp;"|"&amp;$A83,'Snapshot History'!$W$6:$W$1005,0)),""))</f>
        <v/>
      </c>
      <c r="G83" s="38" t="str">
        <f>IF(A83="","",IFERROR(INDEX('Snapshot History'!$N$6:$N$1005,MATCH(INT($B$4)&amp;"|"&amp;$A83,'Snapshot History'!$W$6:$W$1005,0)),""))</f>
        <v/>
      </c>
      <c r="H83" s="38" t="str">
        <f>IF(A83="","",IFERROR(INDEX('Snapshot History'!$O$6:$O$1005,MATCH(INT($B$5)&amp;"|"&amp;$A83,'Snapshot History'!$W$6:$W$1005,0)),""))</f>
        <v/>
      </c>
      <c r="I83" s="38" t="str">
        <f>IF(A83="","",IFERROR(INDEX('Snapshot History'!$O$6:$O$1005,MATCH(INT($B$4)&amp;"|"&amp;$A83,'Snapshot History'!$W$6:$W$1005,0)),""))</f>
        <v/>
      </c>
      <c r="J83" s="37" t="str">
        <f t="shared" si="5"/>
        <v/>
      </c>
      <c r="K83" s="37" t="str">
        <f>IF(A83="","",IFERROR(INDEX('Snapshot History'!$U$6:$U$1005,MATCH(INT($B$5)&amp;"|"&amp;$A83,'Snapshot History'!$W$6:$W$1005,0)),""))</f>
        <v/>
      </c>
      <c r="L83" s="37" t="str">
        <f>IF(A83="","",IFERROR(INDEX('Snapshot History'!$U$6:$U$1005,MATCH(INT($B$4)&amp;"|"&amp;$A83,'Snapshot History'!$W$6:$W$1005,0)),""))</f>
        <v/>
      </c>
      <c r="M83" s="44" t="str">
        <f>IF(A83="","",IFERROR(INDEX('Snapshot History'!$V$6:$V$1005,MATCH(INT($B$5)&amp;"|"&amp;$A83,'Snapshot History'!$W$6:$W$1005,0)),""))</f>
        <v/>
      </c>
      <c r="N83" s="44" t="str">
        <f>IF(A83="","",IFERROR(INDEX('Snapshot History'!$V$6:$V$1005,MATCH(INT($B$4)&amp;"|"&amp;$A83,'Snapshot History'!$W$6:$W$1005,0)),""))</f>
        <v/>
      </c>
      <c r="O83" s="37" t="str">
        <f t="shared" si="6"/>
        <v/>
      </c>
    </row>
    <row r="84" spans="1:15" x14ac:dyDescent="0.35">
      <c r="A84" s="38" t="str">
        <f>IF('Risk Register'!A54="","",'Risk Register'!A54)</f>
        <v/>
      </c>
      <c r="B84" s="44" t="str">
        <f>IF(A84="","",'Risk Register'!B54)</f>
        <v/>
      </c>
      <c r="C84" s="37" t="str">
        <f>IF(A84="","",IFERROR(INDEX('Snapshot History'!$J$6:$J$1005,MATCH(INT($B$5)&amp;"|"&amp;$A84,'Snapshot History'!$W$6:$W$1005,0)),""))</f>
        <v/>
      </c>
      <c r="D84" s="37" t="str">
        <f>IF(A84="","",IFERROR(INDEX('Snapshot History'!$J$6:$J$1005,MATCH(INT($B$4)&amp;"|"&amp;$A84,'Snapshot History'!$W$6:$W$1005,0)),""))</f>
        <v/>
      </c>
      <c r="E84" s="37" t="str">
        <f t="shared" si="4"/>
        <v/>
      </c>
      <c r="F84" s="38" t="str">
        <f>IF(A84="","",IFERROR(INDEX('Snapshot History'!$N$6:$N$1005,MATCH(INT($B$5)&amp;"|"&amp;$A84,'Snapshot History'!$W$6:$W$1005,0)),""))</f>
        <v/>
      </c>
      <c r="G84" s="38" t="str">
        <f>IF(A84="","",IFERROR(INDEX('Snapshot History'!$N$6:$N$1005,MATCH(INT($B$4)&amp;"|"&amp;$A84,'Snapshot History'!$W$6:$W$1005,0)),""))</f>
        <v/>
      </c>
      <c r="H84" s="38" t="str">
        <f>IF(A84="","",IFERROR(INDEX('Snapshot History'!$O$6:$O$1005,MATCH(INT($B$5)&amp;"|"&amp;$A84,'Snapshot History'!$W$6:$W$1005,0)),""))</f>
        <v/>
      </c>
      <c r="I84" s="38" t="str">
        <f>IF(A84="","",IFERROR(INDEX('Snapshot History'!$O$6:$O$1005,MATCH(INT($B$4)&amp;"|"&amp;$A84,'Snapshot History'!$W$6:$W$1005,0)),""))</f>
        <v/>
      </c>
      <c r="J84" s="37" t="str">
        <f t="shared" si="5"/>
        <v/>
      </c>
      <c r="K84" s="37" t="str">
        <f>IF(A84="","",IFERROR(INDEX('Snapshot History'!$U$6:$U$1005,MATCH(INT($B$5)&amp;"|"&amp;$A84,'Snapshot History'!$W$6:$W$1005,0)),""))</f>
        <v/>
      </c>
      <c r="L84" s="37" t="str">
        <f>IF(A84="","",IFERROR(INDEX('Snapshot History'!$U$6:$U$1005,MATCH(INT($B$4)&amp;"|"&amp;$A84,'Snapshot History'!$W$6:$W$1005,0)),""))</f>
        <v/>
      </c>
      <c r="M84" s="44" t="str">
        <f>IF(A84="","",IFERROR(INDEX('Snapshot History'!$V$6:$V$1005,MATCH(INT($B$5)&amp;"|"&amp;$A84,'Snapshot History'!$W$6:$W$1005,0)),""))</f>
        <v/>
      </c>
      <c r="N84" s="44" t="str">
        <f>IF(A84="","",IFERROR(INDEX('Snapshot History'!$V$6:$V$1005,MATCH(INT($B$4)&amp;"|"&amp;$A84,'Snapshot History'!$W$6:$W$1005,0)),""))</f>
        <v/>
      </c>
      <c r="O84" s="37" t="str">
        <f t="shared" si="6"/>
        <v/>
      </c>
    </row>
    <row r="85" spans="1:15" x14ac:dyDescent="0.35">
      <c r="A85" s="38" t="str">
        <f>IF('Risk Register'!A55="","",'Risk Register'!A55)</f>
        <v/>
      </c>
      <c r="B85" s="44" t="str">
        <f>IF(A85="","",'Risk Register'!B55)</f>
        <v/>
      </c>
      <c r="C85" s="37" t="str">
        <f>IF(A85="","",IFERROR(INDEX('Snapshot History'!$J$6:$J$1005,MATCH(INT($B$5)&amp;"|"&amp;$A85,'Snapshot History'!$W$6:$W$1005,0)),""))</f>
        <v/>
      </c>
      <c r="D85" s="37" t="str">
        <f>IF(A85="","",IFERROR(INDEX('Snapshot History'!$J$6:$J$1005,MATCH(INT($B$4)&amp;"|"&amp;$A85,'Snapshot History'!$W$6:$W$1005,0)),""))</f>
        <v/>
      </c>
      <c r="E85" s="37" t="str">
        <f t="shared" si="4"/>
        <v/>
      </c>
      <c r="F85" s="38" t="str">
        <f>IF(A85="","",IFERROR(INDEX('Snapshot History'!$N$6:$N$1005,MATCH(INT($B$5)&amp;"|"&amp;$A85,'Snapshot History'!$W$6:$W$1005,0)),""))</f>
        <v/>
      </c>
      <c r="G85" s="38" t="str">
        <f>IF(A85="","",IFERROR(INDEX('Snapshot History'!$N$6:$N$1005,MATCH(INT($B$4)&amp;"|"&amp;$A85,'Snapshot History'!$W$6:$W$1005,0)),""))</f>
        <v/>
      </c>
      <c r="H85" s="38" t="str">
        <f>IF(A85="","",IFERROR(INDEX('Snapshot History'!$O$6:$O$1005,MATCH(INT($B$5)&amp;"|"&amp;$A85,'Snapshot History'!$W$6:$W$1005,0)),""))</f>
        <v/>
      </c>
      <c r="I85" s="38" t="str">
        <f>IF(A85="","",IFERROR(INDEX('Snapshot History'!$O$6:$O$1005,MATCH(INT($B$4)&amp;"|"&amp;$A85,'Snapshot History'!$W$6:$W$1005,0)),""))</f>
        <v/>
      </c>
      <c r="J85" s="37" t="str">
        <f t="shared" si="5"/>
        <v/>
      </c>
      <c r="K85" s="37" t="str">
        <f>IF(A85="","",IFERROR(INDEX('Snapshot History'!$U$6:$U$1005,MATCH(INT($B$5)&amp;"|"&amp;$A85,'Snapshot History'!$W$6:$W$1005,0)),""))</f>
        <v/>
      </c>
      <c r="L85" s="37" t="str">
        <f>IF(A85="","",IFERROR(INDEX('Snapshot History'!$U$6:$U$1005,MATCH(INT($B$4)&amp;"|"&amp;$A85,'Snapshot History'!$W$6:$W$1005,0)),""))</f>
        <v/>
      </c>
      <c r="M85" s="44" t="str">
        <f>IF(A85="","",IFERROR(INDEX('Snapshot History'!$V$6:$V$1005,MATCH(INT($B$5)&amp;"|"&amp;$A85,'Snapshot History'!$W$6:$W$1005,0)),""))</f>
        <v/>
      </c>
      <c r="N85" s="44" t="str">
        <f>IF(A85="","",IFERROR(INDEX('Snapshot History'!$V$6:$V$1005,MATCH(INT($B$4)&amp;"|"&amp;$A85,'Snapshot History'!$W$6:$W$1005,0)),""))</f>
        <v/>
      </c>
      <c r="O85" s="37" t="str">
        <f t="shared" si="6"/>
        <v/>
      </c>
    </row>
    <row r="86" spans="1:15" x14ac:dyDescent="0.35">
      <c r="A86" s="38" t="str">
        <f>IF('Risk Register'!A56="","",'Risk Register'!A56)</f>
        <v/>
      </c>
      <c r="B86" s="44" t="str">
        <f>IF(A86="","",'Risk Register'!B56)</f>
        <v/>
      </c>
      <c r="C86" s="37" t="str">
        <f>IF(A86="","",IFERROR(INDEX('Snapshot History'!$J$6:$J$1005,MATCH(INT($B$5)&amp;"|"&amp;$A86,'Snapshot History'!$W$6:$W$1005,0)),""))</f>
        <v/>
      </c>
      <c r="D86" s="37" t="str">
        <f>IF(A86="","",IFERROR(INDEX('Snapshot History'!$J$6:$J$1005,MATCH(INT($B$4)&amp;"|"&amp;$A86,'Snapshot History'!$W$6:$W$1005,0)),""))</f>
        <v/>
      </c>
      <c r="E86" s="37" t="str">
        <f t="shared" si="4"/>
        <v/>
      </c>
      <c r="F86" s="38" t="str">
        <f>IF(A86="","",IFERROR(INDEX('Snapshot History'!$N$6:$N$1005,MATCH(INT($B$5)&amp;"|"&amp;$A86,'Snapshot History'!$W$6:$W$1005,0)),""))</f>
        <v/>
      </c>
      <c r="G86" s="38" t="str">
        <f>IF(A86="","",IFERROR(INDEX('Snapshot History'!$N$6:$N$1005,MATCH(INT($B$4)&amp;"|"&amp;$A86,'Snapshot History'!$W$6:$W$1005,0)),""))</f>
        <v/>
      </c>
      <c r="H86" s="38" t="str">
        <f>IF(A86="","",IFERROR(INDEX('Snapshot History'!$O$6:$O$1005,MATCH(INT($B$5)&amp;"|"&amp;$A86,'Snapshot History'!$W$6:$W$1005,0)),""))</f>
        <v/>
      </c>
      <c r="I86" s="38" t="str">
        <f>IF(A86="","",IFERROR(INDEX('Snapshot History'!$O$6:$O$1005,MATCH(INT($B$4)&amp;"|"&amp;$A86,'Snapshot History'!$W$6:$W$1005,0)),""))</f>
        <v/>
      </c>
      <c r="J86" s="37" t="str">
        <f t="shared" si="5"/>
        <v/>
      </c>
      <c r="K86" s="37" t="str">
        <f>IF(A86="","",IFERROR(INDEX('Snapshot History'!$U$6:$U$1005,MATCH(INT($B$5)&amp;"|"&amp;$A86,'Snapshot History'!$W$6:$W$1005,0)),""))</f>
        <v/>
      </c>
      <c r="L86" s="37" t="str">
        <f>IF(A86="","",IFERROR(INDEX('Snapshot History'!$U$6:$U$1005,MATCH(INT($B$4)&amp;"|"&amp;$A86,'Snapshot History'!$W$6:$W$1005,0)),""))</f>
        <v/>
      </c>
      <c r="M86" s="44" t="str">
        <f>IF(A86="","",IFERROR(INDEX('Snapshot History'!$V$6:$V$1005,MATCH(INT($B$5)&amp;"|"&amp;$A86,'Snapshot History'!$W$6:$W$1005,0)),""))</f>
        <v/>
      </c>
      <c r="N86" s="44" t="str">
        <f>IF(A86="","",IFERROR(INDEX('Snapshot History'!$V$6:$V$1005,MATCH(INT($B$4)&amp;"|"&amp;$A86,'Snapshot History'!$W$6:$W$1005,0)),""))</f>
        <v/>
      </c>
      <c r="O86" s="37" t="str">
        <f t="shared" si="6"/>
        <v/>
      </c>
    </row>
    <row r="87" spans="1:15" x14ac:dyDescent="0.35">
      <c r="A87" s="38" t="str">
        <f>IF('Risk Register'!A57="","",'Risk Register'!A57)</f>
        <v/>
      </c>
      <c r="B87" s="44" t="str">
        <f>IF(A87="","",'Risk Register'!B57)</f>
        <v/>
      </c>
      <c r="C87" s="37" t="str">
        <f>IF(A87="","",IFERROR(INDEX('Snapshot History'!$J$6:$J$1005,MATCH(INT($B$5)&amp;"|"&amp;$A87,'Snapshot History'!$W$6:$W$1005,0)),""))</f>
        <v/>
      </c>
      <c r="D87" s="37" t="str">
        <f>IF(A87="","",IFERROR(INDEX('Snapshot History'!$J$6:$J$1005,MATCH(INT($B$4)&amp;"|"&amp;$A87,'Snapshot History'!$W$6:$W$1005,0)),""))</f>
        <v/>
      </c>
      <c r="E87" s="37" t="str">
        <f t="shared" si="4"/>
        <v/>
      </c>
      <c r="F87" s="38" t="str">
        <f>IF(A87="","",IFERROR(INDEX('Snapshot History'!$N$6:$N$1005,MATCH(INT($B$5)&amp;"|"&amp;$A87,'Snapshot History'!$W$6:$W$1005,0)),""))</f>
        <v/>
      </c>
      <c r="G87" s="38" t="str">
        <f>IF(A87="","",IFERROR(INDEX('Snapshot History'!$N$6:$N$1005,MATCH(INT($B$4)&amp;"|"&amp;$A87,'Snapshot History'!$W$6:$W$1005,0)),""))</f>
        <v/>
      </c>
      <c r="H87" s="38" t="str">
        <f>IF(A87="","",IFERROR(INDEX('Snapshot History'!$O$6:$O$1005,MATCH(INT($B$5)&amp;"|"&amp;$A87,'Snapshot History'!$W$6:$W$1005,0)),""))</f>
        <v/>
      </c>
      <c r="I87" s="38" t="str">
        <f>IF(A87="","",IFERROR(INDEX('Snapshot History'!$O$6:$O$1005,MATCH(INT($B$4)&amp;"|"&amp;$A87,'Snapshot History'!$W$6:$W$1005,0)),""))</f>
        <v/>
      </c>
      <c r="J87" s="37" t="str">
        <f t="shared" si="5"/>
        <v/>
      </c>
      <c r="K87" s="37" t="str">
        <f>IF(A87="","",IFERROR(INDEX('Snapshot History'!$U$6:$U$1005,MATCH(INT($B$5)&amp;"|"&amp;$A87,'Snapshot History'!$W$6:$W$1005,0)),""))</f>
        <v/>
      </c>
      <c r="L87" s="37" t="str">
        <f>IF(A87="","",IFERROR(INDEX('Snapshot History'!$U$6:$U$1005,MATCH(INT($B$4)&amp;"|"&amp;$A87,'Snapshot History'!$W$6:$W$1005,0)),""))</f>
        <v/>
      </c>
      <c r="M87" s="44" t="str">
        <f>IF(A87="","",IFERROR(INDEX('Snapshot History'!$V$6:$V$1005,MATCH(INT($B$5)&amp;"|"&amp;$A87,'Snapshot History'!$W$6:$W$1005,0)),""))</f>
        <v/>
      </c>
      <c r="N87" s="44" t="str">
        <f>IF(A87="","",IFERROR(INDEX('Snapshot History'!$V$6:$V$1005,MATCH(INT($B$4)&amp;"|"&amp;$A87,'Snapshot History'!$W$6:$W$1005,0)),""))</f>
        <v/>
      </c>
      <c r="O87" s="37" t="str">
        <f t="shared" si="6"/>
        <v/>
      </c>
    </row>
    <row r="88" spans="1:15" x14ac:dyDescent="0.35">
      <c r="A88" s="38" t="str">
        <f>IF('Risk Register'!A58="","",'Risk Register'!A58)</f>
        <v/>
      </c>
      <c r="B88" s="44" t="str">
        <f>IF(A88="","",'Risk Register'!B58)</f>
        <v/>
      </c>
      <c r="C88" s="37" t="str">
        <f>IF(A88="","",IFERROR(INDEX('Snapshot History'!$J$6:$J$1005,MATCH(INT($B$5)&amp;"|"&amp;$A88,'Snapshot History'!$W$6:$W$1005,0)),""))</f>
        <v/>
      </c>
      <c r="D88" s="37" t="str">
        <f>IF(A88="","",IFERROR(INDEX('Snapshot History'!$J$6:$J$1005,MATCH(INT($B$4)&amp;"|"&amp;$A88,'Snapshot History'!$W$6:$W$1005,0)),""))</f>
        <v/>
      </c>
      <c r="E88" s="37" t="str">
        <f t="shared" si="4"/>
        <v/>
      </c>
      <c r="F88" s="38" t="str">
        <f>IF(A88="","",IFERROR(INDEX('Snapshot History'!$N$6:$N$1005,MATCH(INT($B$5)&amp;"|"&amp;$A88,'Snapshot History'!$W$6:$W$1005,0)),""))</f>
        <v/>
      </c>
      <c r="G88" s="38" t="str">
        <f>IF(A88="","",IFERROR(INDEX('Snapshot History'!$N$6:$N$1005,MATCH(INT($B$4)&amp;"|"&amp;$A88,'Snapshot History'!$W$6:$W$1005,0)),""))</f>
        <v/>
      </c>
      <c r="H88" s="38" t="str">
        <f>IF(A88="","",IFERROR(INDEX('Snapshot History'!$O$6:$O$1005,MATCH(INT($B$5)&amp;"|"&amp;$A88,'Snapshot History'!$W$6:$W$1005,0)),""))</f>
        <v/>
      </c>
      <c r="I88" s="38" t="str">
        <f>IF(A88="","",IFERROR(INDEX('Snapshot History'!$O$6:$O$1005,MATCH(INT($B$4)&amp;"|"&amp;$A88,'Snapshot History'!$W$6:$W$1005,0)),""))</f>
        <v/>
      </c>
      <c r="J88" s="37" t="str">
        <f t="shared" si="5"/>
        <v/>
      </c>
      <c r="K88" s="37" t="str">
        <f>IF(A88="","",IFERROR(INDEX('Snapshot History'!$U$6:$U$1005,MATCH(INT($B$5)&amp;"|"&amp;$A88,'Snapshot History'!$W$6:$W$1005,0)),""))</f>
        <v/>
      </c>
      <c r="L88" s="37" t="str">
        <f>IF(A88="","",IFERROR(INDEX('Snapshot History'!$U$6:$U$1005,MATCH(INT($B$4)&amp;"|"&amp;$A88,'Snapshot History'!$W$6:$W$1005,0)),""))</f>
        <v/>
      </c>
      <c r="M88" s="44" t="str">
        <f>IF(A88="","",IFERROR(INDEX('Snapshot History'!$V$6:$V$1005,MATCH(INT($B$5)&amp;"|"&amp;$A88,'Snapshot History'!$W$6:$W$1005,0)),""))</f>
        <v/>
      </c>
      <c r="N88" s="44" t="str">
        <f>IF(A88="","",IFERROR(INDEX('Snapshot History'!$V$6:$V$1005,MATCH(INT($B$4)&amp;"|"&amp;$A88,'Snapshot History'!$W$6:$W$1005,0)),""))</f>
        <v/>
      </c>
      <c r="O88" s="37" t="str">
        <f t="shared" si="6"/>
        <v/>
      </c>
    </row>
    <row r="89" spans="1:15" x14ac:dyDescent="0.35">
      <c r="A89" s="38" t="str">
        <f>IF('Risk Register'!A59="","",'Risk Register'!A59)</f>
        <v/>
      </c>
      <c r="B89" s="44" t="str">
        <f>IF(A89="","",'Risk Register'!B59)</f>
        <v/>
      </c>
      <c r="C89" s="37" t="str">
        <f>IF(A89="","",IFERROR(INDEX('Snapshot History'!$J$6:$J$1005,MATCH(INT($B$5)&amp;"|"&amp;$A89,'Snapshot History'!$W$6:$W$1005,0)),""))</f>
        <v/>
      </c>
      <c r="D89" s="37" t="str">
        <f>IF(A89="","",IFERROR(INDEX('Snapshot History'!$J$6:$J$1005,MATCH(INT($B$4)&amp;"|"&amp;$A89,'Snapshot History'!$W$6:$W$1005,0)),""))</f>
        <v/>
      </c>
      <c r="E89" s="37" t="str">
        <f t="shared" si="4"/>
        <v/>
      </c>
      <c r="F89" s="38" t="str">
        <f>IF(A89="","",IFERROR(INDEX('Snapshot History'!$N$6:$N$1005,MATCH(INT($B$5)&amp;"|"&amp;$A89,'Snapshot History'!$W$6:$W$1005,0)),""))</f>
        <v/>
      </c>
      <c r="G89" s="38" t="str">
        <f>IF(A89="","",IFERROR(INDEX('Snapshot History'!$N$6:$N$1005,MATCH(INT($B$4)&amp;"|"&amp;$A89,'Snapshot History'!$W$6:$W$1005,0)),""))</f>
        <v/>
      </c>
      <c r="H89" s="38" t="str">
        <f>IF(A89="","",IFERROR(INDEX('Snapshot History'!$O$6:$O$1005,MATCH(INT($B$5)&amp;"|"&amp;$A89,'Snapshot History'!$W$6:$W$1005,0)),""))</f>
        <v/>
      </c>
      <c r="I89" s="38" t="str">
        <f>IF(A89="","",IFERROR(INDEX('Snapshot History'!$O$6:$O$1005,MATCH(INT($B$4)&amp;"|"&amp;$A89,'Snapshot History'!$W$6:$W$1005,0)),""))</f>
        <v/>
      </c>
      <c r="J89" s="37" t="str">
        <f t="shared" si="5"/>
        <v/>
      </c>
      <c r="K89" s="37" t="str">
        <f>IF(A89="","",IFERROR(INDEX('Snapshot History'!$U$6:$U$1005,MATCH(INT($B$5)&amp;"|"&amp;$A89,'Snapshot History'!$W$6:$W$1005,0)),""))</f>
        <v/>
      </c>
      <c r="L89" s="37" t="str">
        <f>IF(A89="","",IFERROR(INDEX('Snapshot History'!$U$6:$U$1005,MATCH(INT($B$4)&amp;"|"&amp;$A89,'Snapshot History'!$W$6:$W$1005,0)),""))</f>
        <v/>
      </c>
      <c r="M89" s="44" t="str">
        <f>IF(A89="","",IFERROR(INDEX('Snapshot History'!$V$6:$V$1005,MATCH(INT($B$5)&amp;"|"&amp;$A89,'Snapshot History'!$W$6:$W$1005,0)),""))</f>
        <v/>
      </c>
      <c r="N89" s="44" t="str">
        <f>IF(A89="","",IFERROR(INDEX('Snapshot History'!$V$6:$V$1005,MATCH(INT($B$4)&amp;"|"&amp;$A89,'Snapshot History'!$W$6:$W$1005,0)),""))</f>
        <v/>
      </c>
      <c r="O89" s="37" t="str">
        <f t="shared" si="6"/>
        <v/>
      </c>
    </row>
    <row r="90" spans="1:15" x14ac:dyDescent="0.35">
      <c r="A90" s="38" t="str">
        <f>IF('Risk Register'!A60="","",'Risk Register'!A60)</f>
        <v/>
      </c>
      <c r="B90" s="44" t="str">
        <f>IF(A90="","",'Risk Register'!B60)</f>
        <v/>
      </c>
      <c r="C90" s="37" t="str">
        <f>IF(A90="","",IFERROR(INDEX('Snapshot History'!$J$6:$J$1005,MATCH(INT($B$5)&amp;"|"&amp;$A90,'Snapshot History'!$W$6:$W$1005,0)),""))</f>
        <v/>
      </c>
      <c r="D90" s="37" t="str">
        <f>IF(A90="","",IFERROR(INDEX('Snapshot History'!$J$6:$J$1005,MATCH(INT($B$4)&amp;"|"&amp;$A90,'Snapshot History'!$W$6:$W$1005,0)),""))</f>
        <v/>
      </c>
      <c r="E90" s="37" t="str">
        <f t="shared" si="4"/>
        <v/>
      </c>
      <c r="F90" s="38" t="str">
        <f>IF(A90="","",IFERROR(INDEX('Snapshot History'!$N$6:$N$1005,MATCH(INT($B$5)&amp;"|"&amp;$A90,'Snapshot History'!$W$6:$W$1005,0)),""))</f>
        <v/>
      </c>
      <c r="G90" s="38" t="str">
        <f>IF(A90="","",IFERROR(INDEX('Snapshot History'!$N$6:$N$1005,MATCH(INT($B$4)&amp;"|"&amp;$A90,'Snapshot History'!$W$6:$W$1005,0)),""))</f>
        <v/>
      </c>
      <c r="H90" s="38" t="str">
        <f>IF(A90="","",IFERROR(INDEX('Snapshot History'!$O$6:$O$1005,MATCH(INT($B$5)&amp;"|"&amp;$A90,'Snapshot History'!$W$6:$W$1005,0)),""))</f>
        <v/>
      </c>
      <c r="I90" s="38" t="str">
        <f>IF(A90="","",IFERROR(INDEX('Snapshot History'!$O$6:$O$1005,MATCH(INT($B$4)&amp;"|"&amp;$A90,'Snapshot History'!$W$6:$W$1005,0)),""))</f>
        <v/>
      </c>
      <c r="J90" s="37" t="str">
        <f t="shared" si="5"/>
        <v/>
      </c>
      <c r="K90" s="37" t="str">
        <f>IF(A90="","",IFERROR(INDEX('Snapshot History'!$U$6:$U$1005,MATCH(INT($B$5)&amp;"|"&amp;$A90,'Snapshot History'!$W$6:$W$1005,0)),""))</f>
        <v/>
      </c>
      <c r="L90" s="37" t="str">
        <f>IF(A90="","",IFERROR(INDEX('Snapshot History'!$U$6:$U$1005,MATCH(INT($B$4)&amp;"|"&amp;$A90,'Snapshot History'!$W$6:$W$1005,0)),""))</f>
        <v/>
      </c>
      <c r="M90" s="44" t="str">
        <f>IF(A90="","",IFERROR(INDEX('Snapshot History'!$V$6:$V$1005,MATCH(INT($B$5)&amp;"|"&amp;$A90,'Snapshot History'!$W$6:$W$1005,0)),""))</f>
        <v/>
      </c>
      <c r="N90" s="44" t="str">
        <f>IF(A90="","",IFERROR(INDEX('Snapshot History'!$V$6:$V$1005,MATCH(INT($B$4)&amp;"|"&amp;$A90,'Snapshot History'!$W$6:$W$1005,0)),""))</f>
        <v/>
      </c>
      <c r="O90" s="37" t="str">
        <f t="shared" si="6"/>
        <v/>
      </c>
    </row>
    <row r="91" spans="1:15" x14ac:dyDescent="0.35">
      <c r="A91" s="38" t="str">
        <f>IF('Risk Register'!A61="","",'Risk Register'!A61)</f>
        <v/>
      </c>
      <c r="B91" s="44" t="str">
        <f>IF(A91="","",'Risk Register'!B61)</f>
        <v/>
      </c>
      <c r="C91" s="37" t="str">
        <f>IF(A91="","",IFERROR(INDEX('Snapshot History'!$J$6:$J$1005,MATCH(INT($B$5)&amp;"|"&amp;$A91,'Snapshot History'!$W$6:$W$1005,0)),""))</f>
        <v/>
      </c>
      <c r="D91" s="37" t="str">
        <f>IF(A91="","",IFERROR(INDEX('Snapshot History'!$J$6:$J$1005,MATCH(INT($B$4)&amp;"|"&amp;$A91,'Snapshot History'!$W$6:$W$1005,0)),""))</f>
        <v/>
      </c>
      <c r="E91" s="37" t="str">
        <f t="shared" si="4"/>
        <v/>
      </c>
      <c r="F91" s="38" t="str">
        <f>IF(A91="","",IFERROR(INDEX('Snapshot History'!$N$6:$N$1005,MATCH(INT($B$5)&amp;"|"&amp;$A91,'Snapshot History'!$W$6:$W$1005,0)),""))</f>
        <v/>
      </c>
      <c r="G91" s="38" t="str">
        <f>IF(A91="","",IFERROR(INDEX('Snapshot History'!$N$6:$N$1005,MATCH(INT($B$4)&amp;"|"&amp;$A91,'Snapshot History'!$W$6:$W$1005,0)),""))</f>
        <v/>
      </c>
      <c r="H91" s="38" t="str">
        <f>IF(A91="","",IFERROR(INDEX('Snapshot History'!$O$6:$O$1005,MATCH(INT($B$5)&amp;"|"&amp;$A91,'Snapshot History'!$W$6:$W$1005,0)),""))</f>
        <v/>
      </c>
      <c r="I91" s="38" t="str">
        <f>IF(A91="","",IFERROR(INDEX('Snapshot History'!$O$6:$O$1005,MATCH(INT($B$4)&amp;"|"&amp;$A91,'Snapshot History'!$W$6:$W$1005,0)),""))</f>
        <v/>
      </c>
      <c r="J91" s="37" t="str">
        <f t="shared" si="5"/>
        <v/>
      </c>
      <c r="K91" s="37" t="str">
        <f>IF(A91="","",IFERROR(INDEX('Snapshot History'!$U$6:$U$1005,MATCH(INT($B$5)&amp;"|"&amp;$A91,'Snapshot History'!$W$6:$W$1005,0)),""))</f>
        <v/>
      </c>
      <c r="L91" s="37" t="str">
        <f>IF(A91="","",IFERROR(INDEX('Snapshot History'!$U$6:$U$1005,MATCH(INT($B$4)&amp;"|"&amp;$A91,'Snapshot History'!$W$6:$W$1005,0)),""))</f>
        <v/>
      </c>
      <c r="M91" s="44" t="str">
        <f>IF(A91="","",IFERROR(INDEX('Snapshot History'!$V$6:$V$1005,MATCH(INT($B$5)&amp;"|"&amp;$A91,'Snapshot History'!$W$6:$W$1005,0)),""))</f>
        <v/>
      </c>
      <c r="N91" s="44" t="str">
        <f>IF(A91="","",IFERROR(INDEX('Snapshot History'!$V$6:$V$1005,MATCH(INT($B$4)&amp;"|"&amp;$A91,'Snapshot History'!$W$6:$W$1005,0)),""))</f>
        <v/>
      </c>
      <c r="O91" s="37" t="str">
        <f t="shared" si="6"/>
        <v/>
      </c>
    </row>
    <row r="92" spans="1:15" x14ac:dyDescent="0.35">
      <c r="A92" s="38" t="str">
        <f>IF('Risk Register'!A62="","",'Risk Register'!A62)</f>
        <v/>
      </c>
      <c r="B92" s="44" t="str">
        <f>IF(A92="","",'Risk Register'!B62)</f>
        <v/>
      </c>
      <c r="C92" s="37" t="str">
        <f>IF(A92="","",IFERROR(INDEX('Snapshot History'!$J$6:$J$1005,MATCH(INT($B$5)&amp;"|"&amp;$A92,'Snapshot History'!$W$6:$W$1005,0)),""))</f>
        <v/>
      </c>
      <c r="D92" s="37" t="str">
        <f>IF(A92="","",IFERROR(INDEX('Snapshot History'!$J$6:$J$1005,MATCH(INT($B$4)&amp;"|"&amp;$A92,'Snapshot History'!$W$6:$W$1005,0)),""))</f>
        <v/>
      </c>
      <c r="E92" s="37" t="str">
        <f t="shared" si="4"/>
        <v/>
      </c>
      <c r="F92" s="38" t="str">
        <f>IF(A92="","",IFERROR(INDEX('Snapshot History'!$N$6:$N$1005,MATCH(INT($B$5)&amp;"|"&amp;$A92,'Snapshot History'!$W$6:$W$1005,0)),""))</f>
        <v/>
      </c>
      <c r="G92" s="38" t="str">
        <f>IF(A92="","",IFERROR(INDEX('Snapshot History'!$N$6:$N$1005,MATCH(INT($B$4)&amp;"|"&amp;$A92,'Snapshot History'!$W$6:$W$1005,0)),""))</f>
        <v/>
      </c>
      <c r="H92" s="38" t="str">
        <f>IF(A92="","",IFERROR(INDEX('Snapshot History'!$O$6:$O$1005,MATCH(INT($B$5)&amp;"|"&amp;$A92,'Snapshot History'!$W$6:$W$1005,0)),""))</f>
        <v/>
      </c>
      <c r="I92" s="38" t="str">
        <f>IF(A92="","",IFERROR(INDEX('Snapshot History'!$O$6:$O$1005,MATCH(INT($B$4)&amp;"|"&amp;$A92,'Snapshot History'!$W$6:$W$1005,0)),""))</f>
        <v/>
      </c>
      <c r="J92" s="37" t="str">
        <f t="shared" si="5"/>
        <v/>
      </c>
      <c r="K92" s="37" t="str">
        <f>IF(A92="","",IFERROR(INDEX('Snapshot History'!$U$6:$U$1005,MATCH(INT($B$5)&amp;"|"&amp;$A92,'Snapshot History'!$W$6:$W$1005,0)),""))</f>
        <v/>
      </c>
      <c r="L92" s="37" t="str">
        <f>IF(A92="","",IFERROR(INDEX('Snapshot History'!$U$6:$U$1005,MATCH(INT($B$4)&amp;"|"&amp;$A92,'Snapshot History'!$W$6:$W$1005,0)),""))</f>
        <v/>
      </c>
      <c r="M92" s="44" t="str">
        <f>IF(A92="","",IFERROR(INDEX('Snapshot History'!$V$6:$V$1005,MATCH(INT($B$5)&amp;"|"&amp;$A92,'Snapshot History'!$W$6:$W$1005,0)),""))</f>
        <v/>
      </c>
      <c r="N92" s="44" t="str">
        <f>IF(A92="","",IFERROR(INDEX('Snapshot History'!$V$6:$V$1005,MATCH(INT($B$4)&amp;"|"&amp;$A92,'Snapshot History'!$W$6:$W$1005,0)),""))</f>
        <v/>
      </c>
      <c r="O92" s="37" t="str">
        <f t="shared" si="6"/>
        <v/>
      </c>
    </row>
    <row r="93" spans="1:15" x14ac:dyDescent="0.35">
      <c r="A93" s="38" t="str">
        <f>IF('Risk Register'!A63="","",'Risk Register'!A63)</f>
        <v/>
      </c>
      <c r="B93" s="44" t="str">
        <f>IF(A93="","",'Risk Register'!B63)</f>
        <v/>
      </c>
      <c r="C93" s="37" t="str">
        <f>IF(A93="","",IFERROR(INDEX('Snapshot History'!$J$6:$J$1005,MATCH(INT($B$5)&amp;"|"&amp;$A93,'Snapshot History'!$W$6:$W$1005,0)),""))</f>
        <v/>
      </c>
      <c r="D93" s="37" t="str">
        <f>IF(A93="","",IFERROR(INDEX('Snapshot History'!$J$6:$J$1005,MATCH(INT($B$4)&amp;"|"&amp;$A93,'Snapshot History'!$W$6:$W$1005,0)),""))</f>
        <v/>
      </c>
      <c r="E93" s="37" t="str">
        <f t="shared" si="4"/>
        <v/>
      </c>
      <c r="F93" s="38" t="str">
        <f>IF(A93="","",IFERROR(INDEX('Snapshot History'!$N$6:$N$1005,MATCH(INT($B$5)&amp;"|"&amp;$A93,'Snapshot History'!$W$6:$W$1005,0)),""))</f>
        <v/>
      </c>
      <c r="G93" s="38" t="str">
        <f>IF(A93="","",IFERROR(INDEX('Snapshot History'!$N$6:$N$1005,MATCH(INT($B$4)&amp;"|"&amp;$A93,'Snapshot History'!$W$6:$W$1005,0)),""))</f>
        <v/>
      </c>
      <c r="H93" s="38" t="str">
        <f>IF(A93="","",IFERROR(INDEX('Snapshot History'!$O$6:$O$1005,MATCH(INT($B$5)&amp;"|"&amp;$A93,'Snapshot History'!$W$6:$W$1005,0)),""))</f>
        <v/>
      </c>
      <c r="I93" s="38" t="str">
        <f>IF(A93="","",IFERROR(INDEX('Snapshot History'!$O$6:$O$1005,MATCH(INT($B$4)&amp;"|"&amp;$A93,'Snapshot History'!$W$6:$W$1005,0)),""))</f>
        <v/>
      </c>
      <c r="J93" s="37" t="str">
        <f t="shared" si="5"/>
        <v/>
      </c>
      <c r="K93" s="37" t="str">
        <f>IF(A93="","",IFERROR(INDEX('Snapshot History'!$U$6:$U$1005,MATCH(INT($B$5)&amp;"|"&amp;$A93,'Snapshot History'!$W$6:$W$1005,0)),""))</f>
        <v/>
      </c>
      <c r="L93" s="37" t="str">
        <f>IF(A93="","",IFERROR(INDEX('Snapshot History'!$U$6:$U$1005,MATCH(INT($B$4)&amp;"|"&amp;$A93,'Snapshot History'!$W$6:$W$1005,0)),""))</f>
        <v/>
      </c>
      <c r="M93" s="44" t="str">
        <f>IF(A93="","",IFERROR(INDEX('Snapshot History'!$V$6:$V$1005,MATCH(INT($B$5)&amp;"|"&amp;$A93,'Snapshot History'!$W$6:$W$1005,0)),""))</f>
        <v/>
      </c>
      <c r="N93" s="44" t="str">
        <f>IF(A93="","",IFERROR(INDEX('Snapshot History'!$V$6:$V$1005,MATCH(INT($B$4)&amp;"|"&amp;$A93,'Snapshot History'!$W$6:$W$1005,0)),""))</f>
        <v/>
      </c>
      <c r="O93" s="37" t="str">
        <f t="shared" si="6"/>
        <v/>
      </c>
    </row>
    <row r="94" spans="1:15" x14ac:dyDescent="0.35">
      <c r="A94" s="38" t="str">
        <f>IF('Risk Register'!A64="","",'Risk Register'!A64)</f>
        <v/>
      </c>
      <c r="B94" s="44" t="str">
        <f>IF(A94="","",'Risk Register'!B64)</f>
        <v/>
      </c>
      <c r="C94" s="37" t="str">
        <f>IF(A94="","",IFERROR(INDEX('Snapshot History'!$J$6:$J$1005,MATCH(INT($B$5)&amp;"|"&amp;$A94,'Snapshot History'!$W$6:$W$1005,0)),""))</f>
        <v/>
      </c>
      <c r="D94" s="37" t="str">
        <f>IF(A94="","",IFERROR(INDEX('Snapshot History'!$J$6:$J$1005,MATCH(INT($B$4)&amp;"|"&amp;$A94,'Snapshot History'!$W$6:$W$1005,0)),""))</f>
        <v/>
      </c>
      <c r="E94" s="37" t="str">
        <f t="shared" si="4"/>
        <v/>
      </c>
      <c r="F94" s="38" t="str">
        <f>IF(A94="","",IFERROR(INDEX('Snapshot History'!$N$6:$N$1005,MATCH(INT($B$5)&amp;"|"&amp;$A94,'Snapshot History'!$W$6:$W$1005,0)),""))</f>
        <v/>
      </c>
      <c r="G94" s="38" t="str">
        <f>IF(A94="","",IFERROR(INDEX('Snapshot History'!$N$6:$N$1005,MATCH(INT($B$4)&amp;"|"&amp;$A94,'Snapshot History'!$W$6:$W$1005,0)),""))</f>
        <v/>
      </c>
      <c r="H94" s="38" t="str">
        <f>IF(A94="","",IFERROR(INDEX('Snapshot History'!$O$6:$O$1005,MATCH(INT($B$5)&amp;"|"&amp;$A94,'Snapshot History'!$W$6:$W$1005,0)),""))</f>
        <v/>
      </c>
      <c r="I94" s="38" t="str">
        <f>IF(A94="","",IFERROR(INDEX('Snapshot History'!$O$6:$O$1005,MATCH(INT($B$4)&amp;"|"&amp;$A94,'Snapshot History'!$W$6:$W$1005,0)),""))</f>
        <v/>
      </c>
      <c r="J94" s="37" t="str">
        <f t="shared" si="5"/>
        <v/>
      </c>
      <c r="K94" s="37" t="str">
        <f>IF(A94="","",IFERROR(INDEX('Snapshot History'!$U$6:$U$1005,MATCH(INT($B$5)&amp;"|"&amp;$A94,'Snapshot History'!$W$6:$W$1005,0)),""))</f>
        <v/>
      </c>
      <c r="L94" s="37" t="str">
        <f>IF(A94="","",IFERROR(INDEX('Snapshot History'!$U$6:$U$1005,MATCH(INT($B$4)&amp;"|"&amp;$A94,'Snapshot History'!$W$6:$W$1005,0)),""))</f>
        <v/>
      </c>
      <c r="M94" s="44" t="str">
        <f>IF(A94="","",IFERROR(INDEX('Snapshot History'!$V$6:$V$1005,MATCH(INT($B$5)&amp;"|"&amp;$A94,'Snapshot History'!$W$6:$W$1005,0)),""))</f>
        <v/>
      </c>
      <c r="N94" s="44" t="str">
        <f>IF(A94="","",IFERROR(INDEX('Snapshot History'!$V$6:$V$1005,MATCH(INT($B$4)&amp;"|"&amp;$A94,'Snapshot History'!$W$6:$W$1005,0)),""))</f>
        <v/>
      </c>
      <c r="O94" s="37" t="str">
        <f t="shared" si="6"/>
        <v/>
      </c>
    </row>
    <row r="95" spans="1:15" x14ac:dyDescent="0.35">
      <c r="A95" s="38" t="str">
        <f>IF('Risk Register'!A65="","",'Risk Register'!A65)</f>
        <v/>
      </c>
      <c r="B95" s="44" t="str">
        <f>IF(A95="","",'Risk Register'!B65)</f>
        <v/>
      </c>
      <c r="C95" s="37" t="str">
        <f>IF(A95="","",IFERROR(INDEX('Snapshot History'!$J$6:$J$1005,MATCH(INT($B$5)&amp;"|"&amp;$A95,'Snapshot History'!$W$6:$W$1005,0)),""))</f>
        <v/>
      </c>
      <c r="D95" s="37" t="str">
        <f>IF(A95="","",IFERROR(INDEX('Snapshot History'!$J$6:$J$1005,MATCH(INT($B$4)&amp;"|"&amp;$A95,'Snapshot History'!$W$6:$W$1005,0)),""))</f>
        <v/>
      </c>
      <c r="E95" s="37" t="str">
        <f t="shared" si="4"/>
        <v/>
      </c>
      <c r="F95" s="38" t="str">
        <f>IF(A95="","",IFERROR(INDEX('Snapshot History'!$N$6:$N$1005,MATCH(INT($B$5)&amp;"|"&amp;$A95,'Snapshot History'!$W$6:$W$1005,0)),""))</f>
        <v/>
      </c>
      <c r="G95" s="38" t="str">
        <f>IF(A95="","",IFERROR(INDEX('Snapshot History'!$N$6:$N$1005,MATCH(INT($B$4)&amp;"|"&amp;$A95,'Snapshot History'!$W$6:$W$1005,0)),""))</f>
        <v/>
      </c>
      <c r="H95" s="38" t="str">
        <f>IF(A95="","",IFERROR(INDEX('Snapshot History'!$O$6:$O$1005,MATCH(INT($B$5)&amp;"|"&amp;$A95,'Snapshot History'!$W$6:$W$1005,0)),""))</f>
        <v/>
      </c>
      <c r="I95" s="38" t="str">
        <f>IF(A95="","",IFERROR(INDEX('Snapshot History'!$O$6:$O$1005,MATCH(INT($B$4)&amp;"|"&amp;$A95,'Snapshot History'!$W$6:$W$1005,0)),""))</f>
        <v/>
      </c>
      <c r="J95" s="37" t="str">
        <f t="shared" si="5"/>
        <v/>
      </c>
      <c r="K95" s="37" t="str">
        <f>IF(A95="","",IFERROR(INDEX('Snapshot History'!$U$6:$U$1005,MATCH(INT($B$5)&amp;"|"&amp;$A95,'Snapshot History'!$W$6:$W$1005,0)),""))</f>
        <v/>
      </c>
      <c r="L95" s="37" t="str">
        <f>IF(A95="","",IFERROR(INDEX('Snapshot History'!$U$6:$U$1005,MATCH(INT($B$4)&amp;"|"&amp;$A95,'Snapshot History'!$W$6:$W$1005,0)),""))</f>
        <v/>
      </c>
      <c r="M95" s="44" t="str">
        <f>IF(A95="","",IFERROR(INDEX('Snapshot History'!$V$6:$V$1005,MATCH(INT($B$5)&amp;"|"&amp;$A95,'Snapshot History'!$W$6:$W$1005,0)),""))</f>
        <v/>
      </c>
      <c r="N95" s="44" t="str">
        <f>IF(A95="","",IFERROR(INDEX('Snapshot History'!$V$6:$V$1005,MATCH(INT($B$4)&amp;"|"&amp;$A95,'Snapshot History'!$W$6:$W$1005,0)),""))</f>
        <v/>
      </c>
      <c r="O95" s="37" t="str">
        <f t="shared" si="6"/>
        <v/>
      </c>
    </row>
    <row r="96" spans="1:15" x14ac:dyDescent="0.35">
      <c r="A96" s="38" t="str">
        <f>IF('Risk Register'!A66="","",'Risk Register'!A66)</f>
        <v/>
      </c>
      <c r="B96" s="44" t="str">
        <f>IF(A96="","",'Risk Register'!B66)</f>
        <v/>
      </c>
      <c r="C96" s="37" t="str">
        <f>IF(A96="","",IFERROR(INDEX('Snapshot History'!$J$6:$J$1005,MATCH(INT($B$5)&amp;"|"&amp;$A96,'Snapshot History'!$W$6:$W$1005,0)),""))</f>
        <v/>
      </c>
      <c r="D96" s="37" t="str">
        <f>IF(A96="","",IFERROR(INDEX('Snapshot History'!$J$6:$J$1005,MATCH(INT($B$4)&amp;"|"&amp;$A96,'Snapshot History'!$W$6:$W$1005,0)),""))</f>
        <v/>
      </c>
      <c r="E96" s="37" t="str">
        <f t="shared" si="4"/>
        <v/>
      </c>
      <c r="F96" s="38" t="str">
        <f>IF(A96="","",IFERROR(INDEX('Snapshot History'!$N$6:$N$1005,MATCH(INT($B$5)&amp;"|"&amp;$A96,'Snapshot History'!$W$6:$W$1005,0)),""))</f>
        <v/>
      </c>
      <c r="G96" s="38" t="str">
        <f>IF(A96="","",IFERROR(INDEX('Snapshot History'!$N$6:$N$1005,MATCH(INT($B$4)&amp;"|"&amp;$A96,'Snapshot History'!$W$6:$W$1005,0)),""))</f>
        <v/>
      </c>
      <c r="H96" s="38" t="str">
        <f>IF(A96="","",IFERROR(INDEX('Snapshot History'!$O$6:$O$1005,MATCH(INT($B$5)&amp;"|"&amp;$A96,'Snapshot History'!$W$6:$W$1005,0)),""))</f>
        <v/>
      </c>
      <c r="I96" s="38" t="str">
        <f>IF(A96="","",IFERROR(INDEX('Snapshot History'!$O$6:$O$1005,MATCH(INT($B$4)&amp;"|"&amp;$A96,'Snapshot History'!$W$6:$W$1005,0)),""))</f>
        <v/>
      </c>
      <c r="J96" s="37" t="str">
        <f t="shared" si="5"/>
        <v/>
      </c>
      <c r="K96" s="37" t="str">
        <f>IF(A96="","",IFERROR(INDEX('Snapshot History'!$U$6:$U$1005,MATCH(INT($B$5)&amp;"|"&amp;$A96,'Snapshot History'!$W$6:$W$1005,0)),""))</f>
        <v/>
      </c>
      <c r="L96" s="37" t="str">
        <f>IF(A96="","",IFERROR(INDEX('Snapshot History'!$U$6:$U$1005,MATCH(INT($B$4)&amp;"|"&amp;$A96,'Snapshot History'!$W$6:$W$1005,0)),""))</f>
        <v/>
      </c>
      <c r="M96" s="44" t="str">
        <f>IF(A96="","",IFERROR(INDEX('Snapshot History'!$V$6:$V$1005,MATCH(INT($B$5)&amp;"|"&amp;$A96,'Snapshot History'!$W$6:$W$1005,0)),""))</f>
        <v/>
      </c>
      <c r="N96" s="44" t="str">
        <f>IF(A96="","",IFERROR(INDEX('Snapshot History'!$V$6:$V$1005,MATCH(INT($B$4)&amp;"|"&amp;$A96,'Snapshot History'!$W$6:$W$1005,0)),""))</f>
        <v/>
      </c>
      <c r="O96" s="37" t="str">
        <f t="shared" si="6"/>
        <v/>
      </c>
    </row>
    <row r="97" spans="1:15" x14ac:dyDescent="0.35">
      <c r="A97" s="38" t="str">
        <f>IF('Risk Register'!A67="","",'Risk Register'!A67)</f>
        <v/>
      </c>
      <c r="B97" s="44" t="str">
        <f>IF(A97="","",'Risk Register'!B67)</f>
        <v/>
      </c>
      <c r="C97" s="37" t="str">
        <f>IF(A97="","",IFERROR(INDEX('Snapshot History'!$J$6:$J$1005,MATCH(INT($B$5)&amp;"|"&amp;$A97,'Snapshot History'!$W$6:$W$1005,0)),""))</f>
        <v/>
      </c>
      <c r="D97" s="37" t="str">
        <f>IF(A97="","",IFERROR(INDEX('Snapshot History'!$J$6:$J$1005,MATCH(INT($B$4)&amp;"|"&amp;$A97,'Snapshot History'!$W$6:$W$1005,0)),""))</f>
        <v/>
      </c>
      <c r="E97" s="37" t="str">
        <f t="shared" si="4"/>
        <v/>
      </c>
      <c r="F97" s="38" t="str">
        <f>IF(A97="","",IFERROR(INDEX('Snapshot History'!$N$6:$N$1005,MATCH(INT($B$5)&amp;"|"&amp;$A97,'Snapshot History'!$W$6:$W$1005,0)),""))</f>
        <v/>
      </c>
      <c r="G97" s="38" t="str">
        <f>IF(A97="","",IFERROR(INDEX('Snapshot History'!$N$6:$N$1005,MATCH(INT($B$4)&amp;"|"&amp;$A97,'Snapshot History'!$W$6:$W$1005,0)),""))</f>
        <v/>
      </c>
      <c r="H97" s="38" t="str">
        <f>IF(A97="","",IFERROR(INDEX('Snapshot History'!$O$6:$O$1005,MATCH(INT($B$5)&amp;"|"&amp;$A97,'Snapshot History'!$W$6:$W$1005,0)),""))</f>
        <v/>
      </c>
      <c r="I97" s="38" t="str">
        <f>IF(A97="","",IFERROR(INDEX('Snapshot History'!$O$6:$O$1005,MATCH(INT($B$4)&amp;"|"&amp;$A97,'Snapshot History'!$W$6:$W$1005,0)),""))</f>
        <v/>
      </c>
      <c r="J97" s="37" t="str">
        <f t="shared" si="5"/>
        <v/>
      </c>
      <c r="K97" s="37" t="str">
        <f>IF(A97="","",IFERROR(INDEX('Snapshot History'!$U$6:$U$1005,MATCH(INT($B$5)&amp;"|"&amp;$A97,'Snapshot History'!$W$6:$W$1005,0)),""))</f>
        <v/>
      </c>
      <c r="L97" s="37" t="str">
        <f>IF(A97="","",IFERROR(INDEX('Snapshot History'!$U$6:$U$1005,MATCH(INT($B$4)&amp;"|"&amp;$A97,'Snapshot History'!$W$6:$W$1005,0)),""))</f>
        <v/>
      </c>
      <c r="M97" s="44" t="str">
        <f>IF(A97="","",IFERROR(INDEX('Snapshot History'!$V$6:$V$1005,MATCH(INT($B$5)&amp;"|"&amp;$A97,'Snapshot History'!$W$6:$W$1005,0)),""))</f>
        <v/>
      </c>
      <c r="N97" s="44" t="str">
        <f>IF(A97="","",IFERROR(INDEX('Snapshot History'!$V$6:$V$1005,MATCH(INT($B$4)&amp;"|"&amp;$A97,'Snapshot History'!$W$6:$W$1005,0)),""))</f>
        <v/>
      </c>
      <c r="O97" s="37" t="str">
        <f t="shared" si="6"/>
        <v/>
      </c>
    </row>
    <row r="98" spans="1:15" x14ac:dyDescent="0.35">
      <c r="A98" s="38" t="str">
        <f>IF('Risk Register'!A68="","",'Risk Register'!A68)</f>
        <v/>
      </c>
      <c r="B98" s="44" t="str">
        <f>IF(A98="","",'Risk Register'!B68)</f>
        <v/>
      </c>
      <c r="C98" s="37" t="str">
        <f>IF(A98="","",IFERROR(INDEX('Snapshot History'!$J$6:$J$1005,MATCH(INT($B$5)&amp;"|"&amp;$A98,'Snapshot History'!$W$6:$W$1005,0)),""))</f>
        <v/>
      </c>
      <c r="D98" s="37" t="str">
        <f>IF(A98="","",IFERROR(INDEX('Snapshot History'!$J$6:$J$1005,MATCH(INT($B$4)&amp;"|"&amp;$A98,'Snapshot History'!$W$6:$W$1005,0)),""))</f>
        <v/>
      </c>
      <c r="E98" s="37" t="str">
        <f t="shared" si="4"/>
        <v/>
      </c>
      <c r="F98" s="38" t="str">
        <f>IF(A98="","",IFERROR(INDEX('Snapshot History'!$N$6:$N$1005,MATCH(INT($B$5)&amp;"|"&amp;$A98,'Snapshot History'!$W$6:$W$1005,0)),""))</f>
        <v/>
      </c>
      <c r="G98" s="38" t="str">
        <f>IF(A98="","",IFERROR(INDEX('Snapshot History'!$N$6:$N$1005,MATCH(INT($B$4)&amp;"|"&amp;$A98,'Snapshot History'!$W$6:$W$1005,0)),""))</f>
        <v/>
      </c>
      <c r="H98" s="38" t="str">
        <f>IF(A98="","",IFERROR(INDEX('Snapshot History'!$O$6:$O$1005,MATCH(INT($B$5)&amp;"|"&amp;$A98,'Snapshot History'!$W$6:$W$1005,0)),""))</f>
        <v/>
      </c>
      <c r="I98" s="38" t="str">
        <f>IF(A98="","",IFERROR(INDEX('Snapshot History'!$O$6:$O$1005,MATCH(INT($B$4)&amp;"|"&amp;$A98,'Snapshot History'!$W$6:$W$1005,0)),""))</f>
        <v/>
      </c>
      <c r="J98" s="37" t="str">
        <f t="shared" si="5"/>
        <v/>
      </c>
      <c r="K98" s="37" t="str">
        <f>IF(A98="","",IFERROR(INDEX('Snapshot History'!$U$6:$U$1005,MATCH(INT($B$5)&amp;"|"&amp;$A98,'Snapshot History'!$W$6:$W$1005,0)),""))</f>
        <v/>
      </c>
      <c r="L98" s="37" t="str">
        <f>IF(A98="","",IFERROR(INDEX('Snapshot History'!$U$6:$U$1005,MATCH(INT($B$4)&amp;"|"&amp;$A98,'Snapshot History'!$W$6:$W$1005,0)),""))</f>
        <v/>
      </c>
      <c r="M98" s="44" t="str">
        <f>IF(A98="","",IFERROR(INDEX('Snapshot History'!$V$6:$V$1005,MATCH(INT($B$5)&amp;"|"&amp;$A98,'Snapshot History'!$W$6:$W$1005,0)),""))</f>
        <v/>
      </c>
      <c r="N98" s="44" t="str">
        <f>IF(A98="","",IFERROR(INDEX('Snapshot History'!$V$6:$V$1005,MATCH(INT($B$4)&amp;"|"&amp;$A98,'Snapshot History'!$W$6:$W$1005,0)),""))</f>
        <v/>
      </c>
      <c r="O98" s="37" t="str">
        <f t="shared" si="6"/>
        <v/>
      </c>
    </row>
    <row r="99" spans="1:15" x14ac:dyDescent="0.35">
      <c r="A99" s="38" t="str">
        <f>IF('Risk Register'!A69="","",'Risk Register'!A69)</f>
        <v/>
      </c>
      <c r="B99" s="44" t="str">
        <f>IF(A99="","",'Risk Register'!B69)</f>
        <v/>
      </c>
      <c r="C99" s="37" t="str">
        <f>IF(A99="","",IFERROR(INDEX('Snapshot History'!$J$6:$J$1005,MATCH(INT($B$5)&amp;"|"&amp;$A99,'Snapshot History'!$W$6:$W$1005,0)),""))</f>
        <v/>
      </c>
      <c r="D99" s="37" t="str">
        <f>IF(A99="","",IFERROR(INDEX('Snapshot History'!$J$6:$J$1005,MATCH(INT($B$4)&amp;"|"&amp;$A99,'Snapshot History'!$W$6:$W$1005,0)),""))</f>
        <v/>
      </c>
      <c r="E99" s="37" t="str">
        <f t="shared" si="4"/>
        <v/>
      </c>
      <c r="F99" s="38" t="str">
        <f>IF(A99="","",IFERROR(INDEX('Snapshot History'!$N$6:$N$1005,MATCH(INT($B$5)&amp;"|"&amp;$A99,'Snapshot History'!$W$6:$W$1005,0)),""))</f>
        <v/>
      </c>
      <c r="G99" s="38" t="str">
        <f>IF(A99="","",IFERROR(INDEX('Snapshot History'!$N$6:$N$1005,MATCH(INT($B$4)&amp;"|"&amp;$A99,'Snapshot History'!$W$6:$W$1005,0)),""))</f>
        <v/>
      </c>
      <c r="H99" s="38" t="str">
        <f>IF(A99="","",IFERROR(INDEX('Snapshot History'!$O$6:$O$1005,MATCH(INT($B$5)&amp;"|"&amp;$A99,'Snapshot History'!$W$6:$W$1005,0)),""))</f>
        <v/>
      </c>
      <c r="I99" s="38" t="str">
        <f>IF(A99="","",IFERROR(INDEX('Snapshot History'!$O$6:$O$1005,MATCH(INT($B$4)&amp;"|"&amp;$A99,'Snapshot History'!$W$6:$W$1005,0)),""))</f>
        <v/>
      </c>
      <c r="J99" s="37" t="str">
        <f t="shared" si="5"/>
        <v/>
      </c>
      <c r="K99" s="37" t="str">
        <f>IF(A99="","",IFERROR(INDEX('Snapshot History'!$U$6:$U$1005,MATCH(INT($B$5)&amp;"|"&amp;$A99,'Snapshot History'!$W$6:$W$1005,0)),""))</f>
        <v/>
      </c>
      <c r="L99" s="37" t="str">
        <f>IF(A99="","",IFERROR(INDEX('Snapshot History'!$U$6:$U$1005,MATCH(INT($B$4)&amp;"|"&amp;$A99,'Snapshot History'!$W$6:$W$1005,0)),""))</f>
        <v/>
      </c>
      <c r="M99" s="44" t="str">
        <f>IF(A99="","",IFERROR(INDEX('Snapshot History'!$V$6:$V$1005,MATCH(INT($B$5)&amp;"|"&amp;$A99,'Snapshot History'!$W$6:$W$1005,0)),""))</f>
        <v/>
      </c>
      <c r="N99" s="44" t="str">
        <f>IF(A99="","",IFERROR(INDEX('Snapshot History'!$V$6:$V$1005,MATCH(INT($B$4)&amp;"|"&amp;$A99,'Snapshot History'!$W$6:$W$1005,0)),""))</f>
        <v/>
      </c>
      <c r="O99" s="37" t="str">
        <f t="shared" si="6"/>
        <v/>
      </c>
    </row>
    <row r="100" spans="1:15" x14ac:dyDescent="0.35">
      <c r="A100" s="38" t="str">
        <f>IF('Risk Register'!A70="","",'Risk Register'!A70)</f>
        <v/>
      </c>
      <c r="B100" s="44" t="str">
        <f>IF(A100="","",'Risk Register'!B70)</f>
        <v/>
      </c>
      <c r="C100" s="37" t="str">
        <f>IF(A100="","",IFERROR(INDEX('Snapshot History'!$J$6:$J$1005,MATCH(INT($B$5)&amp;"|"&amp;$A100,'Snapshot History'!$W$6:$W$1005,0)),""))</f>
        <v/>
      </c>
      <c r="D100" s="37" t="str">
        <f>IF(A100="","",IFERROR(INDEX('Snapshot History'!$J$6:$J$1005,MATCH(INT($B$4)&amp;"|"&amp;$A100,'Snapshot History'!$W$6:$W$1005,0)),""))</f>
        <v/>
      </c>
      <c r="E100" s="37" t="str">
        <f t="shared" ref="E100:E131" si="7">IF(OR(C100="",D100=""),"",D100-C100)</f>
        <v/>
      </c>
      <c r="F100" s="38" t="str">
        <f>IF(A100="","",IFERROR(INDEX('Snapshot History'!$N$6:$N$1005,MATCH(INT($B$5)&amp;"|"&amp;$A100,'Snapshot History'!$W$6:$W$1005,0)),""))</f>
        <v/>
      </c>
      <c r="G100" s="38" t="str">
        <f>IF(A100="","",IFERROR(INDEX('Snapshot History'!$N$6:$N$1005,MATCH(INT($B$4)&amp;"|"&amp;$A100,'Snapshot History'!$W$6:$W$1005,0)),""))</f>
        <v/>
      </c>
      <c r="H100" s="38" t="str">
        <f>IF(A100="","",IFERROR(INDEX('Snapshot History'!$O$6:$O$1005,MATCH(INT($B$5)&amp;"|"&amp;$A100,'Snapshot History'!$W$6:$W$1005,0)),""))</f>
        <v/>
      </c>
      <c r="I100" s="38" t="str">
        <f>IF(A100="","",IFERROR(INDEX('Snapshot History'!$O$6:$O$1005,MATCH(INT($B$4)&amp;"|"&amp;$A100,'Snapshot History'!$W$6:$W$1005,0)),""))</f>
        <v/>
      </c>
      <c r="J100" s="37" t="str">
        <f t="shared" ref="J100:J131" si="8">IF(A100="","",IF(AND(C100="",D100=""),"Not in either snapshot",IF(C100="","New in current",IF(D100="","Not in current",IF(E100&gt;0,"Worsened",IF(E100&lt;0,"Improved",IF(OR(F100&lt;&gt;G100,H100&lt;&gt;I100),"Status changed","Unchanged")))))))</f>
        <v/>
      </c>
      <c r="K100" s="37" t="str">
        <f>IF(A100="","",IFERROR(INDEX('Snapshot History'!$U$6:$U$1005,MATCH(INT($B$5)&amp;"|"&amp;$A100,'Snapshot History'!$W$6:$W$1005,0)),""))</f>
        <v/>
      </c>
      <c r="L100" s="37" t="str">
        <f>IF(A100="","",IFERROR(INDEX('Snapshot History'!$U$6:$U$1005,MATCH(INT($B$4)&amp;"|"&amp;$A100,'Snapshot History'!$W$6:$W$1005,0)),""))</f>
        <v/>
      </c>
      <c r="M100" s="44" t="str">
        <f>IF(A100="","",IFERROR(INDEX('Snapshot History'!$V$6:$V$1005,MATCH(INT($B$5)&amp;"|"&amp;$A100,'Snapshot History'!$W$6:$W$1005,0)),""))</f>
        <v/>
      </c>
      <c r="N100" s="44" t="str">
        <f>IF(A100="","",IFERROR(INDEX('Snapshot History'!$V$6:$V$1005,MATCH(INT($B$4)&amp;"|"&amp;$A100,'Snapshot History'!$W$6:$W$1005,0)),""))</f>
        <v/>
      </c>
      <c r="O100" s="37" t="str">
        <f t="shared" ref="O100:O131" si="9">IF(A100="","",IF(OR(C100="",D100=""),"Not comparable (composition)",IF(K100&lt;&gt;L100,"Appetite version changed",IF(M100&lt;&gt;N100,"Assessment basis changed","Like-for-like"))))</f>
        <v/>
      </c>
    </row>
    <row r="101" spans="1:15" x14ac:dyDescent="0.35">
      <c r="A101" s="38" t="str">
        <f>IF('Risk Register'!A71="","",'Risk Register'!A71)</f>
        <v/>
      </c>
      <c r="B101" s="44" t="str">
        <f>IF(A101="","",'Risk Register'!B71)</f>
        <v/>
      </c>
      <c r="C101" s="37" t="str">
        <f>IF(A101="","",IFERROR(INDEX('Snapshot History'!$J$6:$J$1005,MATCH(INT($B$5)&amp;"|"&amp;$A101,'Snapshot History'!$W$6:$W$1005,0)),""))</f>
        <v/>
      </c>
      <c r="D101" s="37" t="str">
        <f>IF(A101="","",IFERROR(INDEX('Snapshot History'!$J$6:$J$1005,MATCH(INT($B$4)&amp;"|"&amp;$A101,'Snapshot History'!$W$6:$W$1005,0)),""))</f>
        <v/>
      </c>
      <c r="E101" s="37" t="str">
        <f t="shared" si="7"/>
        <v/>
      </c>
      <c r="F101" s="38" t="str">
        <f>IF(A101="","",IFERROR(INDEX('Snapshot History'!$N$6:$N$1005,MATCH(INT($B$5)&amp;"|"&amp;$A101,'Snapshot History'!$W$6:$W$1005,0)),""))</f>
        <v/>
      </c>
      <c r="G101" s="38" t="str">
        <f>IF(A101="","",IFERROR(INDEX('Snapshot History'!$N$6:$N$1005,MATCH(INT($B$4)&amp;"|"&amp;$A101,'Snapshot History'!$W$6:$W$1005,0)),""))</f>
        <v/>
      </c>
      <c r="H101" s="38" t="str">
        <f>IF(A101="","",IFERROR(INDEX('Snapshot History'!$O$6:$O$1005,MATCH(INT($B$5)&amp;"|"&amp;$A101,'Snapshot History'!$W$6:$W$1005,0)),""))</f>
        <v/>
      </c>
      <c r="I101" s="38" t="str">
        <f>IF(A101="","",IFERROR(INDEX('Snapshot History'!$O$6:$O$1005,MATCH(INT($B$4)&amp;"|"&amp;$A101,'Snapshot History'!$W$6:$W$1005,0)),""))</f>
        <v/>
      </c>
      <c r="J101" s="37" t="str">
        <f t="shared" si="8"/>
        <v/>
      </c>
      <c r="K101" s="37" t="str">
        <f>IF(A101="","",IFERROR(INDEX('Snapshot History'!$U$6:$U$1005,MATCH(INT($B$5)&amp;"|"&amp;$A101,'Snapshot History'!$W$6:$W$1005,0)),""))</f>
        <v/>
      </c>
      <c r="L101" s="37" t="str">
        <f>IF(A101="","",IFERROR(INDEX('Snapshot History'!$U$6:$U$1005,MATCH(INT($B$4)&amp;"|"&amp;$A101,'Snapshot History'!$W$6:$W$1005,0)),""))</f>
        <v/>
      </c>
      <c r="M101" s="44" t="str">
        <f>IF(A101="","",IFERROR(INDEX('Snapshot History'!$V$6:$V$1005,MATCH(INT($B$5)&amp;"|"&amp;$A101,'Snapshot History'!$W$6:$W$1005,0)),""))</f>
        <v/>
      </c>
      <c r="N101" s="44" t="str">
        <f>IF(A101="","",IFERROR(INDEX('Snapshot History'!$V$6:$V$1005,MATCH(INT($B$4)&amp;"|"&amp;$A101,'Snapshot History'!$W$6:$W$1005,0)),""))</f>
        <v/>
      </c>
      <c r="O101" s="37" t="str">
        <f t="shared" si="9"/>
        <v/>
      </c>
    </row>
    <row r="102" spans="1:15" x14ac:dyDescent="0.35">
      <c r="A102" s="38" t="str">
        <f>IF('Risk Register'!A72="","",'Risk Register'!A72)</f>
        <v/>
      </c>
      <c r="B102" s="44" t="str">
        <f>IF(A102="","",'Risk Register'!B72)</f>
        <v/>
      </c>
      <c r="C102" s="37" t="str">
        <f>IF(A102="","",IFERROR(INDEX('Snapshot History'!$J$6:$J$1005,MATCH(INT($B$5)&amp;"|"&amp;$A102,'Snapshot History'!$W$6:$W$1005,0)),""))</f>
        <v/>
      </c>
      <c r="D102" s="37" t="str">
        <f>IF(A102="","",IFERROR(INDEX('Snapshot History'!$J$6:$J$1005,MATCH(INT($B$4)&amp;"|"&amp;$A102,'Snapshot History'!$W$6:$W$1005,0)),""))</f>
        <v/>
      </c>
      <c r="E102" s="37" t="str">
        <f t="shared" si="7"/>
        <v/>
      </c>
      <c r="F102" s="38" t="str">
        <f>IF(A102="","",IFERROR(INDEX('Snapshot History'!$N$6:$N$1005,MATCH(INT($B$5)&amp;"|"&amp;$A102,'Snapshot History'!$W$6:$W$1005,0)),""))</f>
        <v/>
      </c>
      <c r="G102" s="38" t="str">
        <f>IF(A102="","",IFERROR(INDEX('Snapshot History'!$N$6:$N$1005,MATCH(INT($B$4)&amp;"|"&amp;$A102,'Snapshot History'!$W$6:$W$1005,0)),""))</f>
        <v/>
      </c>
      <c r="H102" s="38" t="str">
        <f>IF(A102="","",IFERROR(INDEX('Snapshot History'!$O$6:$O$1005,MATCH(INT($B$5)&amp;"|"&amp;$A102,'Snapshot History'!$W$6:$W$1005,0)),""))</f>
        <v/>
      </c>
      <c r="I102" s="38" t="str">
        <f>IF(A102="","",IFERROR(INDEX('Snapshot History'!$O$6:$O$1005,MATCH(INT($B$4)&amp;"|"&amp;$A102,'Snapshot History'!$W$6:$W$1005,0)),""))</f>
        <v/>
      </c>
      <c r="J102" s="37" t="str">
        <f t="shared" si="8"/>
        <v/>
      </c>
      <c r="K102" s="37" t="str">
        <f>IF(A102="","",IFERROR(INDEX('Snapshot History'!$U$6:$U$1005,MATCH(INT($B$5)&amp;"|"&amp;$A102,'Snapshot History'!$W$6:$W$1005,0)),""))</f>
        <v/>
      </c>
      <c r="L102" s="37" t="str">
        <f>IF(A102="","",IFERROR(INDEX('Snapshot History'!$U$6:$U$1005,MATCH(INT($B$4)&amp;"|"&amp;$A102,'Snapshot History'!$W$6:$W$1005,0)),""))</f>
        <v/>
      </c>
      <c r="M102" s="44" t="str">
        <f>IF(A102="","",IFERROR(INDEX('Snapshot History'!$V$6:$V$1005,MATCH(INT($B$5)&amp;"|"&amp;$A102,'Snapshot History'!$W$6:$W$1005,0)),""))</f>
        <v/>
      </c>
      <c r="N102" s="44" t="str">
        <f>IF(A102="","",IFERROR(INDEX('Snapshot History'!$V$6:$V$1005,MATCH(INT($B$4)&amp;"|"&amp;$A102,'Snapshot History'!$W$6:$W$1005,0)),""))</f>
        <v/>
      </c>
      <c r="O102" s="37" t="str">
        <f t="shared" si="9"/>
        <v/>
      </c>
    </row>
    <row r="103" spans="1:15" x14ac:dyDescent="0.35">
      <c r="A103" s="38" t="str">
        <f>IF('Risk Register'!A73="","",'Risk Register'!A73)</f>
        <v/>
      </c>
      <c r="B103" s="44" t="str">
        <f>IF(A103="","",'Risk Register'!B73)</f>
        <v/>
      </c>
      <c r="C103" s="37" t="str">
        <f>IF(A103="","",IFERROR(INDEX('Snapshot History'!$J$6:$J$1005,MATCH(INT($B$5)&amp;"|"&amp;$A103,'Snapshot History'!$W$6:$W$1005,0)),""))</f>
        <v/>
      </c>
      <c r="D103" s="37" t="str">
        <f>IF(A103="","",IFERROR(INDEX('Snapshot History'!$J$6:$J$1005,MATCH(INT($B$4)&amp;"|"&amp;$A103,'Snapshot History'!$W$6:$W$1005,0)),""))</f>
        <v/>
      </c>
      <c r="E103" s="37" t="str">
        <f t="shared" si="7"/>
        <v/>
      </c>
      <c r="F103" s="38" t="str">
        <f>IF(A103="","",IFERROR(INDEX('Snapshot History'!$N$6:$N$1005,MATCH(INT($B$5)&amp;"|"&amp;$A103,'Snapshot History'!$W$6:$W$1005,0)),""))</f>
        <v/>
      </c>
      <c r="G103" s="38" t="str">
        <f>IF(A103="","",IFERROR(INDEX('Snapshot History'!$N$6:$N$1005,MATCH(INT($B$4)&amp;"|"&amp;$A103,'Snapshot History'!$W$6:$W$1005,0)),""))</f>
        <v/>
      </c>
      <c r="H103" s="38" t="str">
        <f>IF(A103="","",IFERROR(INDEX('Snapshot History'!$O$6:$O$1005,MATCH(INT($B$5)&amp;"|"&amp;$A103,'Snapshot History'!$W$6:$W$1005,0)),""))</f>
        <v/>
      </c>
      <c r="I103" s="38" t="str">
        <f>IF(A103="","",IFERROR(INDEX('Snapshot History'!$O$6:$O$1005,MATCH(INT($B$4)&amp;"|"&amp;$A103,'Snapshot History'!$W$6:$W$1005,0)),""))</f>
        <v/>
      </c>
      <c r="J103" s="37" t="str">
        <f t="shared" si="8"/>
        <v/>
      </c>
      <c r="K103" s="37" t="str">
        <f>IF(A103="","",IFERROR(INDEX('Snapshot History'!$U$6:$U$1005,MATCH(INT($B$5)&amp;"|"&amp;$A103,'Snapshot History'!$W$6:$W$1005,0)),""))</f>
        <v/>
      </c>
      <c r="L103" s="37" t="str">
        <f>IF(A103="","",IFERROR(INDEX('Snapshot History'!$U$6:$U$1005,MATCH(INT($B$4)&amp;"|"&amp;$A103,'Snapshot History'!$W$6:$W$1005,0)),""))</f>
        <v/>
      </c>
      <c r="M103" s="44" t="str">
        <f>IF(A103="","",IFERROR(INDEX('Snapshot History'!$V$6:$V$1005,MATCH(INT($B$5)&amp;"|"&amp;$A103,'Snapshot History'!$W$6:$W$1005,0)),""))</f>
        <v/>
      </c>
      <c r="N103" s="44" t="str">
        <f>IF(A103="","",IFERROR(INDEX('Snapshot History'!$V$6:$V$1005,MATCH(INT($B$4)&amp;"|"&amp;$A103,'Snapshot History'!$W$6:$W$1005,0)),""))</f>
        <v/>
      </c>
      <c r="O103" s="37" t="str">
        <f t="shared" si="9"/>
        <v/>
      </c>
    </row>
    <row r="104" spans="1:15" x14ac:dyDescent="0.35">
      <c r="A104" s="38" t="str">
        <f>IF('Risk Register'!A74="","",'Risk Register'!A74)</f>
        <v/>
      </c>
      <c r="B104" s="44" t="str">
        <f>IF(A104="","",'Risk Register'!B74)</f>
        <v/>
      </c>
      <c r="C104" s="37" t="str">
        <f>IF(A104="","",IFERROR(INDEX('Snapshot History'!$J$6:$J$1005,MATCH(INT($B$5)&amp;"|"&amp;$A104,'Snapshot History'!$W$6:$W$1005,0)),""))</f>
        <v/>
      </c>
      <c r="D104" s="37" t="str">
        <f>IF(A104="","",IFERROR(INDEX('Snapshot History'!$J$6:$J$1005,MATCH(INT($B$4)&amp;"|"&amp;$A104,'Snapshot History'!$W$6:$W$1005,0)),""))</f>
        <v/>
      </c>
      <c r="E104" s="37" t="str">
        <f t="shared" si="7"/>
        <v/>
      </c>
      <c r="F104" s="38" t="str">
        <f>IF(A104="","",IFERROR(INDEX('Snapshot History'!$N$6:$N$1005,MATCH(INT($B$5)&amp;"|"&amp;$A104,'Snapshot History'!$W$6:$W$1005,0)),""))</f>
        <v/>
      </c>
      <c r="G104" s="38" t="str">
        <f>IF(A104="","",IFERROR(INDEX('Snapshot History'!$N$6:$N$1005,MATCH(INT($B$4)&amp;"|"&amp;$A104,'Snapshot History'!$W$6:$W$1005,0)),""))</f>
        <v/>
      </c>
      <c r="H104" s="38" t="str">
        <f>IF(A104="","",IFERROR(INDEX('Snapshot History'!$O$6:$O$1005,MATCH(INT($B$5)&amp;"|"&amp;$A104,'Snapshot History'!$W$6:$W$1005,0)),""))</f>
        <v/>
      </c>
      <c r="I104" s="38" t="str">
        <f>IF(A104="","",IFERROR(INDEX('Snapshot History'!$O$6:$O$1005,MATCH(INT($B$4)&amp;"|"&amp;$A104,'Snapshot History'!$W$6:$W$1005,0)),""))</f>
        <v/>
      </c>
      <c r="J104" s="37" t="str">
        <f t="shared" si="8"/>
        <v/>
      </c>
      <c r="K104" s="37" t="str">
        <f>IF(A104="","",IFERROR(INDEX('Snapshot History'!$U$6:$U$1005,MATCH(INT($B$5)&amp;"|"&amp;$A104,'Snapshot History'!$W$6:$W$1005,0)),""))</f>
        <v/>
      </c>
      <c r="L104" s="37" t="str">
        <f>IF(A104="","",IFERROR(INDEX('Snapshot History'!$U$6:$U$1005,MATCH(INT($B$4)&amp;"|"&amp;$A104,'Snapshot History'!$W$6:$W$1005,0)),""))</f>
        <v/>
      </c>
      <c r="M104" s="44" t="str">
        <f>IF(A104="","",IFERROR(INDEX('Snapshot History'!$V$6:$V$1005,MATCH(INT($B$5)&amp;"|"&amp;$A104,'Snapshot History'!$W$6:$W$1005,0)),""))</f>
        <v/>
      </c>
      <c r="N104" s="44" t="str">
        <f>IF(A104="","",IFERROR(INDEX('Snapshot History'!$V$6:$V$1005,MATCH(INT($B$4)&amp;"|"&amp;$A104,'Snapshot History'!$W$6:$W$1005,0)),""))</f>
        <v/>
      </c>
      <c r="O104" s="37" t="str">
        <f t="shared" si="9"/>
        <v/>
      </c>
    </row>
    <row r="105" spans="1:15" x14ac:dyDescent="0.35">
      <c r="A105" s="38" t="str">
        <f>IF('Risk Register'!A75="","",'Risk Register'!A75)</f>
        <v/>
      </c>
      <c r="B105" s="44" t="str">
        <f>IF(A105="","",'Risk Register'!B75)</f>
        <v/>
      </c>
      <c r="C105" s="37" t="str">
        <f>IF(A105="","",IFERROR(INDEX('Snapshot History'!$J$6:$J$1005,MATCH(INT($B$5)&amp;"|"&amp;$A105,'Snapshot History'!$W$6:$W$1005,0)),""))</f>
        <v/>
      </c>
      <c r="D105" s="37" t="str">
        <f>IF(A105="","",IFERROR(INDEX('Snapshot History'!$J$6:$J$1005,MATCH(INT($B$4)&amp;"|"&amp;$A105,'Snapshot History'!$W$6:$W$1005,0)),""))</f>
        <v/>
      </c>
      <c r="E105" s="37" t="str">
        <f t="shared" si="7"/>
        <v/>
      </c>
      <c r="F105" s="38" t="str">
        <f>IF(A105="","",IFERROR(INDEX('Snapshot History'!$N$6:$N$1005,MATCH(INT($B$5)&amp;"|"&amp;$A105,'Snapshot History'!$W$6:$W$1005,0)),""))</f>
        <v/>
      </c>
      <c r="G105" s="38" t="str">
        <f>IF(A105="","",IFERROR(INDEX('Snapshot History'!$N$6:$N$1005,MATCH(INT($B$4)&amp;"|"&amp;$A105,'Snapshot History'!$W$6:$W$1005,0)),""))</f>
        <v/>
      </c>
      <c r="H105" s="38" t="str">
        <f>IF(A105="","",IFERROR(INDEX('Snapshot History'!$O$6:$O$1005,MATCH(INT($B$5)&amp;"|"&amp;$A105,'Snapshot History'!$W$6:$W$1005,0)),""))</f>
        <v/>
      </c>
      <c r="I105" s="38" t="str">
        <f>IF(A105="","",IFERROR(INDEX('Snapshot History'!$O$6:$O$1005,MATCH(INT($B$4)&amp;"|"&amp;$A105,'Snapshot History'!$W$6:$W$1005,0)),""))</f>
        <v/>
      </c>
      <c r="J105" s="37" t="str">
        <f t="shared" si="8"/>
        <v/>
      </c>
      <c r="K105" s="37" t="str">
        <f>IF(A105="","",IFERROR(INDEX('Snapshot History'!$U$6:$U$1005,MATCH(INT($B$5)&amp;"|"&amp;$A105,'Snapshot History'!$W$6:$W$1005,0)),""))</f>
        <v/>
      </c>
      <c r="L105" s="37" t="str">
        <f>IF(A105="","",IFERROR(INDEX('Snapshot History'!$U$6:$U$1005,MATCH(INT($B$4)&amp;"|"&amp;$A105,'Snapshot History'!$W$6:$W$1005,0)),""))</f>
        <v/>
      </c>
      <c r="M105" s="44" t="str">
        <f>IF(A105="","",IFERROR(INDEX('Snapshot History'!$V$6:$V$1005,MATCH(INT($B$5)&amp;"|"&amp;$A105,'Snapshot History'!$W$6:$W$1005,0)),""))</f>
        <v/>
      </c>
      <c r="N105" s="44" t="str">
        <f>IF(A105="","",IFERROR(INDEX('Snapshot History'!$V$6:$V$1005,MATCH(INT($B$4)&amp;"|"&amp;$A105,'Snapshot History'!$W$6:$W$1005,0)),""))</f>
        <v/>
      </c>
      <c r="O105" s="37" t="str">
        <f t="shared" si="9"/>
        <v/>
      </c>
    </row>
    <row r="106" spans="1:15" x14ac:dyDescent="0.35">
      <c r="A106" s="38" t="str">
        <f>IF('Risk Register'!A76="","",'Risk Register'!A76)</f>
        <v/>
      </c>
      <c r="B106" s="44" t="str">
        <f>IF(A106="","",'Risk Register'!B76)</f>
        <v/>
      </c>
      <c r="C106" s="37" t="str">
        <f>IF(A106="","",IFERROR(INDEX('Snapshot History'!$J$6:$J$1005,MATCH(INT($B$5)&amp;"|"&amp;$A106,'Snapshot History'!$W$6:$W$1005,0)),""))</f>
        <v/>
      </c>
      <c r="D106" s="37" t="str">
        <f>IF(A106="","",IFERROR(INDEX('Snapshot History'!$J$6:$J$1005,MATCH(INT($B$4)&amp;"|"&amp;$A106,'Snapshot History'!$W$6:$W$1005,0)),""))</f>
        <v/>
      </c>
      <c r="E106" s="37" t="str">
        <f t="shared" si="7"/>
        <v/>
      </c>
      <c r="F106" s="38" t="str">
        <f>IF(A106="","",IFERROR(INDEX('Snapshot History'!$N$6:$N$1005,MATCH(INT($B$5)&amp;"|"&amp;$A106,'Snapshot History'!$W$6:$W$1005,0)),""))</f>
        <v/>
      </c>
      <c r="G106" s="38" t="str">
        <f>IF(A106="","",IFERROR(INDEX('Snapshot History'!$N$6:$N$1005,MATCH(INT($B$4)&amp;"|"&amp;$A106,'Snapshot History'!$W$6:$W$1005,0)),""))</f>
        <v/>
      </c>
      <c r="H106" s="38" t="str">
        <f>IF(A106="","",IFERROR(INDEX('Snapshot History'!$O$6:$O$1005,MATCH(INT($B$5)&amp;"|"&amp;$A106,'Snapshot History'!$W$6:$W$1005,0)),""))</f>
        <v/>
      </c>
      <c r="I106" s="38" t="str">
        <f>IF(A106="","",IFERROR(INDEX('Snapshot History'!$O$6:$O$1005,MATCH(INT($B$4)&amp;"|"&amp;$A106,'Snapshot History'!$W$6:$W$1005,0)),""))</f>
        <v/>
      </c>
      <c r="J106" s="37" t="str">
        <f t="shared" si="8"/>
        <v/>
      </c>
      <c r="K106" s="37" t="str">
        <f>IF(A106="","",IFERROR(INDEX('Snapshot History'!$U$6:$U$1005,MATCH(INT($B$5)&amp;"|"&amp;$A106,'Snapshot History'!$W$6:$W$1005,0)),""))</f>
        <v/>
      </c>
      <c r="L106" s="37" t="str">
        <f>IF(A106="","",IFERROR(INDEX('Snapshot History'!$U$6:$U$1005,MATCH(INT($B$4)&amp;"|"&amp;$A106,'Snapshot History'!$W$6:$W$1005,0)),""))</f>
        <v/>
      </c>
      <c r="M106" s="44" t="str">
        <f>IF(A106="","",IFERROR(INDEX('Snapshot History'!$V$6:$V$1005,MATCH(INT($B$5)&amp;"|"&amp;$A106,'Snapshot History'!$W$6:$W$1005,0)),""))</f>
        <v/>
      </c>
      <c r="N106" s="44" t="str">
        <f>IF(A106="","",IFERROR(INDEX('Snapshot History'!$V$6:$V$1005,MATCH(INT($B$4)&amp;"|"&amp;$A106,'Snapshot History'!$W$6:$W$1005,0)),""))</f>
        <v/>
      </c>
      <c r="O106" s="37" t="str">
        <f t="shared" si="9"/>
        <v/>
      </c>
    </row>
    <row r="107" spans="1:15" x14ac:dyDescent="0.35">
      <c r="A107" s="38" t="str">
        <f>IF('Risk Register'!A77="","",'Risk Register'!A77)</f>
        <v/>
      </c>
      <c r="B107" s="44" t="str">
        <f>IF(A107="","",'Risk Register'!B77)</f>
        <v/>
      </c>
      <c r="C107" s="37" t="str">
        <f>IF(A107="","",IFERROR(INDEX('Snapshot History'!$J$6:$J$1005,MATCH(INT($B$5)&amp;"|"&amp;$A107,'Snapshot History'!$W$6:$W$1005,0)),""))</f>
        <v/>
      </c>
      <c r="D107" s="37" t="str">
        <f>IF(A107="","",IFERROR(INDEX('Snapshot History'!$J$6:$J$1005,MATCH(INT($B$4)&amp;"|"&amp;$A107,'Snapshot History'!$W$6:$W$1005,0)),""))</f>
        <v/>
      </c>
      <c r="E107" s="37" t="str">
        <f t="shared" si="7"/>
        <v/>
      </c>
      <c r="F107" s="38" t="str">
        <f>IF(A107="","",IFERROR(INDEX('Snapshot History'!$N$6:$N$1005,MATCH(INT($B$5)&amp;"|"&amp;$A107,'Snapshot History'!$W$6:$W$1005,0)),""))</f>
        <v/>
      </c>
      <c r="G107" s="38" t="str">
        <f>IF(A107="","",IFERROR(INDEX('Snapshot History'!$N$6:$N$1005,MATCH(INT($B$4)&amp;"|"&amp;$A107,'Snapshot History'!$W$6:$W$1005,0)),""))</f>
        <v/>
      </c>
      <c r="H107" s="38" t="str">
        <f>IF(A107="","",IFERROR(INDEX('Snapshot History'!$O$6:$O$1005,MATCH(INT($B$5)&amp;"|"&amp;$A107,'Snapshot History'!$W$6:$W$1005,0)),""))</f>
        <v/>
      </c>
      <c r="I107" s="38" t="str">
        <f>IF(A107="","",IFERROR(INDEX('Snapshot History'!$O$6:$O$1005,MATCH(INT($B$4)&amp;"|"&amp;$A107,'Snapshot History'!$W$6:$W$1005,0)),""))</f>
        <v/>
      </c>
      <c r="J107" s="37" t="str">
        <f t="shared" si="8"/>
        <v/>
      </c>
      <c r="K107" s="37" t="str">
        <f>IF(A107="","",IFERROR(INDEX('Snapshot History'!$U$6:$U$1005,MATCH(INT($B$5)&amp;"|"&amp;$A107,'Snapshot History'!$W$6:$W$1005,0)),""))</f>
        <v/>
      </c>
      <c r="L107" s="37" t="str">
        <f>IF(A107="","",IFERROR(INDEX('Snapshot History'!$U$6:$U$1005,MATCH(INT($B$4)&amp;"|"&amp;$A107,'Snapshot History'!$W$6:$W$1005,0)),""))</f>
        <v/>
      </c>
      <c r="M107" s="44" t="str">
        <f>IF(A107="","",IFERROR(INDEX('Snapshot History'!$V$6:$V$1005,MATCH(INT($B$5)&amp;"|"&amp;$A107,'Snapshot History'!$W$6:$W$1005,0)),""))</f>
        <v/>
      </c>
      <c r="N107" s="44" t="str">
        <f>IF(A107="","",IFERROR(INDEX('Snapshot History'!$V$6:$V$1005,MATCH(INT($B$4)&amp;"|"&amp;$A107,'Snapshot History'!$W$6:$W$1005,0)),""))</f>
        <v/>
      </c>
      <c r="O107" s="37" t="str">
        <f t="shared" si="9"/>
        <v/>
      </c>
    </row>
    <row r="108" spans="1:15" x14ac:dyDescent="0.35">
      <c r="A108" s="38" t="str">
        <f>IF('Risk Register'!A78="","",'Risk Register'!A78)</f>
        <v/>
      </c>
      <c r="B108" s="44" t="str">
        <f>IF(A108="","",'Risk Register'!B78)</f>
        <v/>
      </c>
      <c r="C108" s="37" t="str">
        <f>IF(A108="","",IFERROR(INDEX('Snapshot History'!$J$6:$J$1005,MATCH(INT($B$5)&amp;"|"&amp;$A108,'Snapshot History'!$W$6:$W$1005,0)),""))</f>
        <v/>
      </c>
      <c r="D108" s="37" t="str">
        <f>IF(A108="","",IFERROR(INDEX('Snapshot History'!$J$6:$J$1005,MATCH(INT($B$4)&amp;"|"&amp;$A108,'Snapshot History'!$W$6:$W$1005,0)),""))</f>
        <v/>
      </c>
      <c r="E108" s="37" t="str">
        <f t="shared" si="7"/>
        <v/>
      </c>
      <c r="F108" s="38" t="str">
        <f>IF(A108="","",IFERROR(INDEX('Snapshot History'!$N$6:$N$1005,MATCH(INT($B$5)&amp;"|"&amp;$A108,'Snapshot History'!$W$6:$W$1005,0)),""))</f>
        <v/>
      </c>
      <c r="G108" s="38" t="str">
        <f>IF(A108="","",IFERROR(INDEX('Snapshot History'!$N$6:$N$1005,MATCH(INT($B$4)&amp;"|"&amp;$A108,'Snapshot History'!$W$6:$W$1005,0)),""))</f>
        <v/>
      </c>
      <c r="H108" s="38" t="str">
        <f>IF(A108="","",IFERROR(INDEX('Snapshot History'!$O$6:$O$1005,MATCH(INT($B$5)&amp;"|"&amp;$A108,'Snapshot History'!$W$6:$W$1005,0)),""))</f>
        <v/>
      </c>
      <c r="I108" s="38" t="str">
        <f>IF(A108="","",IFERROR(INDEX('Snapshot History'!$O$6:$O$1005,MATCH(INT($B$4)&amp;"|"&amp;$A108,'Snapshot History'!$W$6:$W$1005,0)),""))</f>
        <v/>
      </c>
      <c r="J108" s="37" t="str">
        <f t="shared" si="8"/>
        <v/>
      </c>
      <c r="K108" s="37" t="str">
        <f>IF(A108="","",IFERROR(INDEX('Snapshot History'!$U$6:$U$1005,MATCH(INT($B$5)&amp;"|"&amp;$A108,'Snapshot History'!$W$6:$W$1005,0)),""))</f>
        <v/>
      </c>
      <c r="L108" s="37" t="str">
        <f>IF(A108="","",IFERROR(INDEX('Snapshot History'!$U$6:$U$1005,MATCH(INT($B$4)&amp;"|"&amp;$A108,'Snapshot History'!$W$6:$W$1005,0)),""))</f>
        <v/>
      </c>
      <c r="M108" s="44" t="str">
        <f>IF(A108="","",IFERROR(INDEX('Snapshot History'!$V$6:$V$1005,MATCH(INT($B$5)&amp;"|"&amp;$A108,'Snapshot History'!$W$6:$W$1005,0)),""))</f>
        <v/>
      </c>
      <c r="N108" s="44" t="str">
        <f>IF(A108="","",IFERROR(INDEX('Snapshot History'!$V$6:$V$1005,MATCH(INT($B$4)&amp;"|"&amp;$A108,'Snapshot History'!$W$6:$W$1005,0)),""))</f>
        <v/>
      </c>
      <c r="O108" s="37" t="str">
        <f t="shared" si="9"/>
        <v/>
      </c>
    </row>
    <row r="109" spans="1:15" x14ac:dyDescent="0.35">
      <c r="A109" s="38" t="str">
        <f>IF('Risk Register'!A79="","",'Risk Register'!A79)</f>
        <v/>
      </c>
      <c r="B109" s="44" t="str">
        <f>IF(A109="","",'Risk Register'!B79)</f>
        <v/>
      </c>
      <c r="C109" s="37" t="str">
        <f>IF(A109="","",IFERROR(INDEX('Snapshot History'!$J$6:$J$1005,MATCH(INT($B$5)&amp;"|"&amp;$A109,'Snapshot History'!$W$6:$W$1005,0)),""))</f>
        <v/>
      </c>
      <c r="D109" s="37" t="str">
        <f>IF(A109="","",IFERROR(INDEX('Snapshot History'!$J$6:$J$1005,MATCH(INT($B$4)&amp;"|"&amp;$A109,'Snapshot History'!$W$6:$W$1005,0)),""))</f>
        <v/>
      </c>
      <c r="E109" s="37" t="str">
        <f t="shared" si="7"/>
        <v/>
      </c>
      <c r="F109" s="38" t="str">
        <f>IF(A109="","",IFERROR(INDEX('Snapshot History'!$N$6:$N$1005,MATCH(INT($B$5)&amp;"|"&amp;$A109,'Snapshot History'!$W$6:$W$1005,0)),""))</f>
        <v/>
      </c>
      <c r="G109" s="38" t="str">
        <f>IF(A109="","",IFERROR(INDEX('Snapshot History'!$N$6:$N$1005,MATCH(INT($B$4)&amp;"|"&amp;$A109,'Snapshot History'!$W$6:$W$1005,0)),""))</f>
        <v/>
      </c>
      <c r="H109" s="38" t="str">
        <f>IF(A109="","",IFERROR(INDEX('Snapshot History'!$O$6:$O$1005,MATCH(INT($B$5)&amp;"|"&amp;$A109,'Snapshot History'!$W$6:$W$1005,0)),""))</f>
        <v/>
      </c>
      <c r="I109" s="38" t="str">
        <f>IF(A109="","",IFERROR(INDEX('Snapshot History'!$O$6:$O$1005,MATCH(INT($B$4)&amp;"|"&amp;$A109,'Snapshot History'!$W$6:$W$1005,0)),""))</f>
        <v/>
      </c>
      <c r="J109" s="37" t="str">
        <f t="shared" si="8"/>
        <v/>
      </c>
      <c r="K109" s="37" t="str">
        <f>IF(A109="","",IFERROR(INDEX('Snapshot History'!$U$6:$U$1005,MATCH(INT($B$5)&amp;"|"&amp;$A109,'Snapshot History'!$W$6:$W$1005,0)),""))</f>
        <v/>
      </c>
      <c r="L109" s="37" t="str">
        <f>IF(A109="","",IFERROR(INDEX('Snapshot History'!$U$6:$U$1005,MATCH(INT($B$4)&amp;"|"&amp;$A109,'Snapshot History'!$W$6:$W$1005,0)),""))</f>
        <v/>
      </c>
      <c r="M109" s="44" t="str">
        <f>IF(A109="","",IFERROR(INDEX('Snapshot History'!$V$6:$V$1005,MATCH(INT($B$5)&amp;"|"&amp;$A109,'Snapshot History'!$W$6:$W$1005,0)),""))</f>
        <v/>
      </c>
      <c r="N109" s="44" t="str">
        <f>IF(A109="","",IFERROR(INDEX('Snapshot History'!$V$6:$V$1005,MATCH(INT($B$4)&amp;"|"&amp;$A109,'Snapshot History'!$W$6:$W$1005,0)),""))</f>
        <v/>
      </c>
      <c r="O109" s="37" t="str">
        <f t="shared" si="9"/>
        <v/>
      </c>
    </row>
    <row r="110" spans="1:15" x14ac:dyDescent="0.35">
      <c r="A110" s="38" t="str">
        <f>IF('Risk Register'!A80="","",'Risk Register'!A80)</f>
        <v/>
      </c>
      <c r="B110" s="44" t="str">
        <f>IF(A110="","",'Risk Register'!B80)</f>
        <v/>
      </c>
      <c r="C110" s="37" t="str">
        <f>IF(A110="","",IFERROR(INDEX('Snapshot History'!$J$6:$J$1005,MATCH(INT($B$5)&amp;"|"&amp;$A110,'Snapshot History'!$W$6:$W$1005,0)),""))</f>
        <v/>
      </c>
      <c r="D110" s="37" t="str">
        <f>IF(A110="","",IFERROR(INDEX('Snapshot History'!$J$6:$J$1005,MATCH(INT($B$4)&amp;"|"&amp;$A110,'Snapshot History'!$W$6:$W$1005,0)),""))</f>
        <v/>
      </c>
      <c r="E110" s="37" t="str">
        <f t="shared" si="7"/>
        <v/>
      </c>
      <c r="F110" s="38" t="str">
        <f>IF(A110="","",IFERROR(INDEX('Snapshot History'!$N$6:$N$1005,MATCH(INT($B$5)&amp;"|"&amp;$A110,'Snapshot History'!$W$6:$W$1005,0)),""))</f>
        <v/>
      </c>
      <c r="G110" s="38" t="str">
        <f>IF(A110="","",IFERROR(INDEX('Snapshot History'!$N$6:$N$1005,MATCH(INT($B$4)&amp;"|"&amp;$A110,'Snapshot History'!$W$6:$W$1005,0)),""))</f>
        <v/>
      </c>
      <c r="H110" s="38" t="str">
        <f>IF(A110="","",IFERROR(INDEX('Snapshot History'!$O$6:$O$1005,MATCH(INT($B$5)&amp;"|"&amp;$A110,'Snapshot History'!$W$6:$W$1005,0)),""))</f>
        <v/>
      </c>
      <c r="I110" s="38" t="str">
        <f>IF(A110="","",IFERROR(INDEX('Snapshot History'!$O$6:$O$1005,MATCH(INT($B$4)&amp;"|"&amp;$A110,'Snapshot History'!$W$6:$W$1005,0)),""))</f>
        <v/>
      </c>
      <c r="J110" s="37" t="str">
        <f t="shared" si="8"/>
        <v/>
      </c>
      <c r="K110" s="37" t="str">
        <f>IF(A110="","",IFERROR(INDEX('Snapshot History'!$U$6:$U$1005,MATCH(INT($B$5)&amp;"|"&amp;$A110,'Snapshot History'!$W$6:$W$1005,0)),""))</f>
        <v/>
      </c>
      <c r="L110" s="37" t="str">
        <f>IF(A110="","",IFERROR(INDEX('Snapshot History'!$U$6:$U$1005,MATCH(INT($B$4)&amp;"|"&amp;$A110,'Snapshot History'!$W$6:$W$1005,0)),""))</f>
        <v/>
      </c>
      <c r="M110" s="44" t="str">
        <f>IF(A110="","",IFERROR(INDEX('Snapshot History'!$V$6:$V$1005,MATCH(INT($B$5)&amp;"|"&amp;$A110,'Snapshot History'!$W$6:$W$1005,0)),""))</f>
        <v/>
      </c>
      <c r="N110" s="44" t="str">
        <f>IF(A110="","",IFERROR(INDEX('Snapshot History'!$V$6:$V$1005,MATCH(INT($B$4)&amp;"|"&amp;$A110,'Snapshot History'!$W$6:$W$1005,0)),""))</f>
        <v/>
      </c>
      <c r="O110" s="37" t="str">
        <f t="shared" si="9"/>
        <v/>
      </c>
    </row>
    <row r="111" spans="1:15" x14ac:dyDescent="0.35">
      <c r="A111" s="38" t="str">
        <f>IF('Risk Register'!A81="","",'Risk Register'!A81)</f>
        <v/>
      </c>
      <c r="B111" s="44" t="str">
        <f>IF(A111="","",'Risk Register'!B81)</f>
        <v/>
      </c>
      <c r="C111" s="37" t="str">
        <f>IF(A111="","",IFERROR(INDEX('Snapshot History'!$J$6:$J$1005,MATCH(INT($B$5)&amp;"|"&amp;$A111,'Snapshot History'!$W$6:$W$1005,0)),""))</f>
        <v/>
      </c>
      <c r="D111" s="37" t="str">
        <f>IF(A111="","",IFERROR(INDEX('Snapshot History'!$J$6:$J$1005,MATCH(INT($B$4)&amp;"|"&amp;$A111,'Snapshot History'!$W$6:$W$1005,0)),""))</f>
        <v/>
      </c>
      <c r="E111" s="37" t="str">
        <f t="shared" si="7"/>
        <v/>
      </c>
      <c r="F111" s="38" t="str">
        <f>IF(A111="","",IFERROR(INDEX('Snapshot History'!$N$6:$N$1005,MATCH(INT($B$5)&amp;"|"&amp;$A111,'Snapshot History'!$W$6:$W$1005,0)),""))</f>
        <v/>
      </c>
      <c r="G111" s="38" t="str">
        <f>IF(A111="","",IFERROR(INDEX('Snapshot History'!$N$6:$N$1005,MATCH(INT($B$4)&amp;"|"&amp;$A111,'Snapshot History'!$W$6:$W$1005,0)),""))</f>
        <v/>
      </c>
      <c r="H111" s="38" t="str">
        <f>IF(A111="","",IFERROR(INDEX('Snapshot History'!$O$6:$O$1005,MATCH(INT($B$5)&amp;"|"&amp;$A111,'Snapshot History'!$W$6:$W$1005,0)),""))</f>
        <v/>
      </c>
      <c r="I111" s="38" t="str">
        <f>IF(A111="","",IFERROR(INDEX('Snapshot History'!$O$6:$O$1005,MATCH(INT($B$4)&amp;"|"&amp;$A111,'Snapshot History'!$W$6:$W$1005,0)),""))</f>
        <v/>
      </c>
      <c r="J111" s="37" t="str">
        <f t="shared" si="8"/>
        <v/>
      </c>
      <c r="K111" s="37" t="str">
        <f>IF(A111="","",IFERROR(INDEX('Snapshot History'!$U$6:$U$1005,MATCH(INT($B$5)&amp;"|"&amp;$A111,'Snapshot History'!$W$6:$W$1005,0)),""))</f>
        <v/>
      </c>
      <c r="L111" s="37" t="str">
        <f>IF(A111="","",IFERROR(INDEX('Snapshot History'!$U$6:$U$1005,MATCH(INT($B$4)&amp;"|"&amp;$A111,'Snapshot History'!$W$6:$W$1005,0)),""))</f>
        <v/>
      </c>
      <c r="M111" s="44" t="str">
        <f>IF(A111="","",IFERROR(INDEX('Snapshot History'!$V$6:$V$1005,MATCH(INT($B$5)&amp;"|"&amp;$A111,'Snapshot History'!$W$6:$W$1005,0)),""))</f>
        <v/>
      </c>
      <c r="N111" s="44" t="str">
        <f>IF(A111="","",IFERROR(INDEX('Snapshot History'!$V$6:$V$1005,MATCH(INT($B$4)&amp;"|"&amp;$A111,'Snapshot History'!$W$6:$W$1005,0)),""))</f>
        <v/>
      </c>
      <c r="O111" s="37" t="str">
        <f t="shared" si="9"/>
        <v/>
      </c>
    </row>
    <row r="112" spans="1:15" x14ac:dyDescent="0.35">
      <c r="A112" s="38" t="str">
        <f>IF('Risk Register'!A82="","",'Risk Register'!A82)</f>
        <v/>
      </c>
      <c r="B112" s="44" t="str">
        <f>IF(A112="","",'Risk Register'!B82)</f>
        <v/>
      </c>
      <c r="C112" s="37" t="str">
        <f>IF(A112="","",IFERROR(INDEX('Snapshot History'!$J$6:$J$1005,MATCH(INT($B$5)&amp;"|"&amp;$A112,'Snapshot History'!$W$6:$W$1005,0)),""))</f>
        <v/>
      </c>
      <c r="D112" s="37" t="str">
        <f>IF(A112="","",IFERROR(INDEX('Snapshot History'!$J$6:$J$1005,MATCH(INT($B$4)&amp;"|"&amp;$A112,'Snapshot History'!$W$6:$W$1005,0)),""))</f>
        <v/>
      </c>
      <c r="E112" s="37" t="str">
        <f t="shared" si="7"/>
        <v/>
      </c>
      <c r="F112" s="38" t="str">
        <f>IF(A112="","",IFERROR(INDEX('Snapshot History'!$N$6:$N$1005,MATCH(INT($B$5)&amp;"|"&amp;$A112,'Snapshot History'!$W$6:$W$1005,0)),""))</f>
        <v/>
      </c>
      <c r="G112" s="38" t="str">
        <f>IF(A112="","",IFERROR(INDEX('Snapshot History'!$N$6:$N$1005,MATCH(INT($B$4)&amp;"|"&amp;$A112,'Snapshot History'!$W$6:$W$1005,0)),""))</f>
        <v/>
      </c>
      <c r="H112" s="38" t="str">
        <f>IF(A112="","",IFERROR(INDEX('Snapshot History'!$O$6:$O$1005,MATCH(INT($B$5)&amp;"|"&amp;$A112,'Snapshot History'!$W$6:$W$1005,0)),""))</f>
        <v/>
      </c>
      <c r="I112" s="38" t="str">
        <f>IF(A112="","",IFERROR(INDEX('Snapshot History'!$O$6:$O$1005,MATCH(INT($B$4)&amp;"|"&amp;$A112,'Snapshot History'!$W$6:$W$1005,0)),""))</f>
        <v/>
      </c>
      <c r="J112" s="37" t="str">
        <f t="shared" si="8"/>
        <v/>
      </c>
      <c r="K112" s="37" t="str">
        <f>IF(A112="","",IFERROR(INDEX('Snapshot History'!$U$6:$U$1005,MATCH(INT($B$5)&amp;"|"&amp;$A112,'Snapshot History'!$W$6:$W$1005,0)),""))</f>
        <v/>
      </c>
      <c r="L112" s="37" t="str">
        <f>IF(A112="","",IFERROR(INDEX('Snapshot History'!$U$6:$U$1005,MATCH(INT($B$4)&amp;"|"&amp;$A112,'Snapshot History'!$W$6:$W$1005,0)),""))</f>
        <v/>
      </c>
      <c r="M112" s="44" t="str">
        <f>IF(A112="","",IFERROR(INDEX('Snapshot History'!$V$6:$V$1005,MATCH(INT($B$5)&amp;"|"&amp;$A112,'Snapshot History'!$W$6:$W$1005,0)),""))</f>
        <v/>
      </c>
      <c r="N112" s="44" t="str">
        <f>IF(A112="","",IFERROR(INDEX('Snapshot History'!$V$6:$V$1005,MATCH(INT($B$4)&amp;"|"&amp;$A112,'Snapshot History'!$W$6:$W$1005,0)),""))</f>
        <v/>
      </c>
      <c r="O112" s="37" t="str">
        <f t="shared" si="9"/>
        <v/>
      </c>
    </row>
    <row r="113" spans="1:15" x14ac:dyDescent="0.35">
      <c r="A113" s="38" t="str">
        <f>IF('Risk Register'!A83="","",'Risk Register'!A83)</f>
        <v/>
      </c>
      <c r="B113" s="44" t="str">
        <f>IF(A113="","",'Risk Register'!B83)</f>
        <v/>
      </c>
      <c r="C113" s="37" t="str">
        <f>IF(A113="","",IFERROR(INDEX('Snapshot History'!$J$6:$J$1005,MATCH(INT($B$5)&amp;"|"&amp;$A113,'Snapshot History'!$W$6:$W$1005,0)),""))</f>
        <v/>
      </c>
      <c r="D113" s="37" t="str">
        <f>IF(A113="","",IFERROR(INDEX('Snapshot History'!$J$6:$J$1005,MATCH(INT($B$4)&amp;"|"&amp;$A113,'Snapshot History'!$W$6:$W$1005,0)),""))</f>
        <v/>
      </c>
      <c r="E113" s="37" t="str">
        <f t="shared" si="7"/>
        <v/>
      </c>
      <c r="F113" s="38" t="str">
        <f>IF(A113="","",IFERROR(INDEX('Snapshot History'!$N$6:$N$1005,MATCH(INT($B$5)&amp;"|"&amp;$A113,'Snapshot History'!$W$6:$W$1005,0)),""))</f>
        <v/>
      </c>
      <c r="G113" s="38" t="str">
        <f>IF(A113="","",IFERROR(INDEX('Snapshot History'!$N$6:$N$1005,MATCH(INT($B$4)&amp;"|"&amp;$A113,'Snapshot History'!$W$6:$W$1005,0)),""))</f>
        <v/>
      </c>
      <c r="H113" s="38" t="str">
        <f>IF(A113="","",IFERROR(INDEX('Snapshot History'!$O$6:$O$1005,MATCH(INT($B$5)&amp;"|"&amp;$A113,'Snapshot History'!$W$6:$W$1005,0)),""))</f>
        <v/>
      </c>
      <c r="I113" s="38" t="str">
        <f>IF(A113="","",IFERROR(INDEX('Snapshot History'!$O$6:$O$1005,MATCH(INT($B$4)&amp;"|"&amp;$A113,'Snapshot History'!$W$6:$W$1005,0)),""))</f>
        <v/>
      </c>
      <c r="J113" s="37" t="str">
        <f t="shared" si="8"/>
        <v/>
      </c>
      <c r="K113" s="37" t="str">
        <f>IF(A113="","",IFERROR(INDEX('Snapshot History'!$U$6:$U$1005,MATCH(INT($B$5)&amp;"|"&amp;$A113,'Snapshot History'!$W$6:$W$1005,0)),""))</f>
        <v/>
      </c>
      <c r="L113" s="37" t="str">
        <f>IF(A113="","",IFERROR(INDEX('Snapshot History'!$U$6:$U$1005,MATCH(INT($B$4)&amp;"|"&amp;$A113,'Snapshot History'!$W$6:$W$1005,0)),""))</f>
        <v/>
      </c>
      <c r="M113" s="44" t="str">
        <f>IF(A113="","",IFERROR(INDEX('Snapshot History'!$V$6:$V$1005,MATCH(INT($B$5)&amp;"|"&amp;$A113,'Snapshot History'!$W$6:$W$1005,0)),""))</f>
        <v/>
      </c>
      <c r="N113" s="44" t="str">
        <f>IF(A113="","",IFERROR(INDEX('Snapshot History'!$V$6:$V$1005,MATCH(INT($B$4)&amp;"|"&amp;$A113,'Snapshot History'!$W$6:$W$1005,0)),""))</f>
        <v/>
      </c>
      <c r="O113" s="37" t="str">
        <f t="shared" si="9"/>
        <v/>
      </c>
    </row>
    <row r="114" spans="1:15" x14ac:dyDescent="0.35">
      <c r="A114" s="38" t="str">
        <f>IF('Risk Register'!A84="","",'Risk Register'!A84)</f>
        <v/>
      </c>
      <c r="B114" s="44" t="str">
        <f>IF(A114="","",'Risk Register'!B84)</f>
        <v/>
      </c>
      <c r="C114" s="37" t="str">
        <f>IF(A114="","",IFERROR(INDEX('Snapshot History'!$J$6:$J$1005,MATCH(INT($B$5)&amp;"|"&amp;$A114,'Snapshot History'!$W$6:$W$1005,0)),""))</f>
        <v/>
      </c>
      <c r="D114" s="37" t="str">
        <f>IF(A114="","",IFERROR(INDEX('Snapshot History'!$J$6:$J$1005,MATCH(INT($B$4)&amp;"|"&amp;$A114,'Snapshot History'!$W$6:$W$1005,0)),""))</f>
        <v/>
      </c>
      <c r="E114" s="37" t="str">
        <f t="shared" si="7"/>
        <v/>
      </c>
      <c r="F114" s="38" t="str">
        <f>IF(A114="","",IFERROR(INDEX('Snapshot History'!$N$6:$N$1005,MATCH(INT($B$5)&amp;"|"&amp;$A114,'Snapshot History'!$W$6:$W$1005,0)),""))</f>
        <v/>
      </c>
      <c r="G114" s="38" t="str">
        <f>IF(A114="","",IFERROR(INDEX('Snapshot History'!$N$6:$N$1005,MATCH(INT($B$4)&amp;"|"&amp;$A114,'Snapshot History'!$W$6:$W$1005,0)),""))</f>
        <v/>
      </c>
      <c r="H114" s="38" t="str">
        <f>IF(A114="","",IFERROR(INDEX('Snapshot History'!$O$6:$O$1005,MATCH(INT($B$5)&amp;"|"&amp;$A114,'Snapshot History'!$W$6:$W$1005,0)),""))</f>
        <v/>
      </c>
      <c r="I114" s="38" t="str">
        <f>IF(A114="","",IFERROR(INDEX('Snapshot History'!$O$6:$O$1005,MATCH(INT($B$4)&amp;"|"&amp;$A114,'Snapshot History'!$W$6:$W$1005,0)),""))</f>
        <v/>
      </c>
      <c r="J114" s="37" t="str">
        <f t="shared" si="8"/>
        <v/>
      </c>
      <c r="K114" s="37" t="str">
        <f>IF(A114="","",IFERROR(INDEX('Snapshot History'!$U$6:$U$1005,MATCH(INT($B$5)&amp;"|"&amp;$A114,'Snapshot History'!$W$6:$W$1005,0)),""))</f>
        <v/>
      </c>
      <c r="L114" s="37" t="str">
        <f>IF(A114="","",IFERROR(INDEX('Snapshot History'!$U$6:$U$1005,MATCH(INT($B$4)&amp;"|"&amp;$A114,'Snapshot History'!$W$6:$W$1005,0)),""))</f>
        <v/>
      </c>
      <c r="M114" s="44" t="str">
        <f>IF(A114="","",IFERROR(INDEX('Snapshot History'!$V$6:$V$1005,MATCH(INT($B$5)&amp;"|"&amp;$A114,'Snapshot History'!$W$6:$W$1005,0)),""))</f>
        <v/>
      </c>
      <c r="N114" s="44" t="str">
        <f>IF(A114="","",IFERROR(INDEX('Snapshot History'!$V$6:$V$1005,MATCH(INT($B$4)&amp;"|"&amp;$A114,'Snapshot History'!$W$6:$W$1005,0)),""))</f>
        <v/>
      </c>
      <c r="O114" s="37" t="str">
        <f t="shared" si="9"/>
        <v/>
      </c>
    </row>
    <row r="115" spans="1:15" x14ac:dyDescent="0.35">
      <c r="A115" s="38" t="str">
        <f>IF('Risk Register'!A85="","",'Risk Register'!A85)</f>
        <v/>
      </c>
      <c r="B115" s="44" t="str">
        <f>IF(A115="","",'Risk Register'!B85)</f>
        <v/>
      </c>
      <c r="C115" s="37" t="str">
        <f>IF(A115="","",IFERROR(INDEX('Snapshot History'!$J$6:$J$1005,MATCH(INT($B$5)&amp;"|"&amp;$A115,'Snapshot History'!$W$6:$W$1005,0)),""))</f>
        <v/>
      </c>
      <c r="D115" s="37" t="str">
        <f>IF(A115="","",IFERROR(INDEX('Snapshot History'!$J$6:$J$1005,MATCH(INT($B$4)&amp;"|"&amp;$A115,'Snapshot History'!$W$6:$W$1005,0)),""))</f>
        <v/>
      </c>
      <c r="E115" s="37" t="str">
        <f t="shared" si="7"/>
        <v/>
      </c>
      <c r="F115" s="38" t="str">
        <f>IF(A115="","",IFERROR(INDEX('Snapshot History'!$N$6:$N$1005,MATCH(INT($B$5)&amp;"|"&amp;$A115,'Snapshot History'!$W$6:$W$1005,0)),""))</f>
        <v/>
      </c>
      <c r="G115" s="38" t="str">
        <f>IF(A115="","",IFERROR(INDEX('Snapshot History'!$N$6:$N$1005,MATCH(INT($B$4)&amp;"|"&amp;$A115,'Snapshot History'!$W$6:$W$1005,0)),""))</f>
        <v/>
      </c>
      <c r="H115" s="38" t="str">
        <f>IF(A115="","",IFERROR(INDEX('Snapshot History'!$O$6:$O$1005,MATCH(INT($B$5)&amp;"|"&amp;$A115,'Snapshot History'!$W$6:$W$1005,0)),""))</f>
        <v/>
      </c>
      <c r="I115" s="38" t="str">
        <f>IF(A115="","",IFERROR(INDEX('Snapshot History'!$O$6:$O$1005,MATCH(INT($B$4)&amp;"|"&amp;$A115,'Snapshot History'!$W$6:$W$1005,0)),""))</f>
        <v/>
      </c>
      <c r="J115" s="37" t="str">
        <f t="shared" si="8"/>
        <v/>
      </c>
      <c r="K115" s="37" t="str">
        <f>IF(A115="","",IFERROR(INDEX('Snapshot History'!$U$6:$U$1005,MATCH(INT($B$5)&amp;"|"&amp;$A115,'Snapshot History'!$W$6:$W$1005,0)),""))</f>
        <v/>
      </c>
      <c r="L115" s="37" t="str">
        <f>IF(A115="","",IFERROR(INDEX('Snapshot History'!$U$6:$U$1005,MATCH(INT($B$4)&amp;"|"&amp;$A115,'Snapshot History'!$W$6:$W$1005,0)),""))</f>
        <v/>
      </c>
      <c r="M115" s="44" t="str">
        <f>IF(A115="","",IFERROR(INDEX('Snapshot History'!$V$6:$V$1005,MATCH(INT($B$5)&amp;"|"&amp;$A115,'Snapshot History'!$W$6:$W$1005,0)),""))</f>
        <v/>
      </c>
      <c r="N115" s="44" t="str">
        <f>IF(A115="","",IFERROR(INDEX('Snapshot History'!$V$6:$V$1005,MATCH(INT($B$4)&amp;"|"&amp;$A115,'Snapshot History'!$W$6:$W$1005,0)),""))</f>
        <v/>
      </c>
      <c r="O115" s="37" t="str">
        <f t="shared" si="9"/>
        <v/>
      </c>
    </row>
    <row r="116" spans="1:15" x14ac:dyDescent="0.35">
      <c r="A116" s="38" t="str">
        <f>IF('Risk Register'!A86="","",'Risk Register'!A86)</f>
        <v/>
      </c>
      <c r="B116" s="44" t="str">
        <f>IF(A116="","",'Risk Register'!B86)</f>
        <v/>
      </c>
      <c r="C116" s="37" t="str">
        <f>IF(A116="","",IFERROR(INDEX('Snapshot History'!$J$6:$J$1005,MATCH(INT($B$5)&amp;"|"&amp;$A116,'Snapshot History'!$W$6:$W$1005,0)),""))</f>
        <v/>
      </c>
      <c r="D116" s="37" t="str">
        <f>IF(A116="","",IFERROR(INDEX('Snapshot History'!$J$6:$J$1005,MATCH(INT($B$4)&amp;"|"&amp;$A116,'Snapshot History'!$W$6:$W$1005,0)),""))</f>
        <v/>
      </c>
      <c r="E116" s="37" t="str">
        <f t="shared" si="7"/>
        <v/>
      </c>
      <c r="F116" s="38" t="str">
        <f>IF(A116="","",IFERROR(INDEX('Snapshot History'!$N$6:$N$1005,MATCH(INT($B$5)&amp;"|"&amp;$A116,'Snapshot History'!$W$6:$W$1005,0)),""))</f>
        <v/>
      </c>
      <c r="G116" s="38" t="str">
        <f>IF(A116="","",IFERROR(INDEX('Snapshot History'!$N$6:$N$1005,MATCH(INT($B$4)&amp;"|"&amp;$A116,'Snapshot History'!$W$6:$W$1005,0)),""))</f>
        <v/>
      </c>
      <c r="H116" s="38" t="str">
        <f>IF(A116="","",IFERROR(INDEX('Snapshot History'!$O$6:$O$1005,MATCH(INT($B$5)&amp;"|"&amp;$A116,'Snapshot History'!$W$6:$W$1005,0)),""))</f>
        <v/>
      </c>
      <c r="I116" s="38" t="str">
        <f>IF(A116="","",IFERROR(INDEX('Snapshot History'!$O$6:$O$1005,MATCH(INT($B$4)&amp;"|"&amp;$A116,'Snapshot History'!$W$6:$W$1005,0)),""))</f>
        <v/>
      </c>
      <c r="J116" s="37" t="str">
        <f t="shared" si="8"/>
        <v/>
      </c>
      <c r="K116" s="37" t="str">
        <f>IF(A116="","",IFERROR(INDEX('Snapshot History'!$U$6:$U$1005,MATCH(INT($B$5)&amp;"|"&amp;$A116,'Snapshot History'!$W$6:$W$1005,0)),""))</f>
        <v/>
      </c>
      <c r="L116" s="37" t="str">
        <f>IF(A116="","",IFERROR(INDEX('Snapshot History'!$U$6:$U$1005,MATCH(INT($B$4)&amp;"|"&amp;$A116,'Snapshot History'!$W$6:$W$1005,0)),""))</f>
        <v/>
      </c>
      <c r="M116" s="44" t="str">
        <f>IF(A116="","",IFERROR(INDEX('Snapshot History'!$V$6:$V$1005,MATCH(INT($B$5)&amp;"|"&amp;$A116,'Snapshot History'!$W$6:$W$1005,0)),""))</f>
        <v/>
      </c>
      <c r="N116" s="44" t="str">
        <f>IF(A116="","",IFERROR(INDEX('Snapshot History'!$V$6:$V$1005,MATCH(INT($B$4)&amp;"|"&amp;$A116,'Snapshot History'!$W$6:$W$1005,0)),""))</f>
        <v/>
      </c>
      <c r="O116" s="37" t="str">
        <f t="shared" si="9"/>
        <v/>
      </c>
    </row>
    <row r="117" spans="1:15" x14ac:dyDescent="0.35">
      <c r="A117" s="38" t="str">
        <f>IF('Risk Register'!A87="","",'Risk Register'!A87)</f>
        <v/>
      </c>
      <c r="B117" s="44" t="str">
        <f>IF(A117="","",'Risk Register'!B87)</f>
        <v/>
      </c>
      <c r="C117" s="37" t="str">
        <f>IF(A117="","",IFERROR(INDEX('Snapshot History'!$J$6:$J$1005,MATCH(INT($B$5)&amp;"|"&amp;$A117,'Snapshot History'!$W$6:$W$1005,0)),""))</f>
        <v/>
      </c>
      <c r="D117" s="37" t="str">
        <f>IF(A117="","",IFERROR(INDEX('Snapshot History'!$J$6:$J$1005,MATCH(INT($B$4)&amp;"|"&amp;$A117,'Snapshot History'!$W$6:$W$1005,0)),""))</f>
        <v/>
      </c>
      <c r="E117" s="37" t="str">
        <f t="shared" si="7"/>
        <v/>
      </c>
      <c r="F117" s="38" t="str">
        <f>IF(A117="","",IFERROR(INDEX('Snapshot History'!$N$6:$N$1005,MATCH(INT($B$5)&amp;"|"&amp;$A117,'Snapshot History'!$W$6:$W$1005,0)),""))</f>
        <v/>
      </c>
      <c r="G117" s="38" t="str">
        <f>IF(A117="","",IFERROR(INDEX('Snapshot History'!$N$6:$N$1005,MATCH(INT($B$4)&amp;"|"&amp;$A117,'Snapshot History'!$W$6:$W$1005,0)),""))</f>
        <v/>
      </c>
      <c r="H117" s="38" t="str">
        <f>IF(A117="","",IFERROR(INDEX('Snapshot History'!$O$6:$O$1005,MATCH(INT($B$5)&amp;"|"&amp;$A117,'Snapshot History'!$W$6:$W$1005,0)),""))</f>
        <v/>
      </c>
      <c r="I117" s="38" t="str">
        <f>IF(A117="","",IFERROR(INDEX('Snapshot History'!$O$6:$O$1005,MATCH(INT($B$4)&amp;"|"&amp;$A117,'Snapshot History'!$W$6:$W$1005,0)),""))</f>
        <v/>
      </c>
      <c r="J117" s="37" t="str">
        <f t="shared" si="8"/>
        <v/>
      </c>
      <c r="K117" s="37" t="str">
        <f>IF(A117="","",IFERROR(INDEX('Snapshot History'!$U$6:$U$1005,MATCH(INT($B$5)&amp;"|"&amp;$A117,'Snapshot History'!$W$6:$W$1005,0)),""))</f>
        <v/>
      </c>
      <c r="L117" s="37" t="str">
        <f>IF(A117="","",IFERROR(INDEX('Snapshot History'!$U$6:$U$1005,MATCH(INT($B$4)&amp;"|"&amp;$A117,'Snapshot History'!$W$6:$W$1005,0)),""))</f>
        <v/>
      </c>
      <c r="M117" s="44" t="str">
        <f>IF(A117="","",IFERROR(INDEX('Snapshot History'!$V$6:$V$1005,MATCH(INT($B$5)&amp;"|"&amp;$A117,'Snapshot History'!$W$6:$W$1005,0)),""))</f>
        <v/>
      </c>
      <c r="N117" s="44" t="str">
        <f>IF(A117="","",IFERROR(INDEX('Snapshot History'!$V$6:$V$1005,MATCH(INT($B$4)&amp;"|"&amp;$A117,'Snapshot History'!$W$6:$W$1005,0)),""))</f>
        <v/>
      </c>
      <c r="O117" s="37" t="str">
        <f t="shared" si="9"/>
        <v/>
      </c>
    </row>
    <row r="118" spans="1:15" x14ac:dyDescent="0.35">
      <c r="A118" s="38" t="str">
        <f>IF('Risk Register'!A88="","",'Risk Register'!A88)</f>
        <v/>
      </c>
      <c r="B118" s="44" t="str">
        <f>IF(A118="","",'Risk Register'!B88)</f>
        <v/>
      </c>
      <c r="C118" s="37" t="str">
        <f>IF(A118="","",IFERROR(INDEX('Snapshot History'!$J$6:$J$1005,MATCH(INT($B$5)&amp;"|"&amp;$A118,'Snapshot History'!$W$6:$W$1005,0)),""))</f>
        <v/>
      </c>
      <c r="D118" s="37" t="str">
        <f>IF(A118="","",IFERROR(INDEX('Snapshot History'!$J$6:$J$1005,MATCH(INT($B$4)&amp;"|"&amp;$A118,'Snapshot History'!$W$6:$W$1005,0)),""))</f>
        <v/>
      </c>
      <c r="E118" s="37" t="str">
        <f t="shared" si="7"/>
        <v/>
      </c>
      <c r="F118" s="38" t="str">
        <f>IF(A118="","",IFERROR(INDEX('Snapshot History'!$N$6:$N$1005,MATCH(INT($B$5)&amp;"|"&amp;$A118,'Snapshot History'!$W$6:$W$1005,0)),""))</f>
        <v/>
      </c>
      <c r="G118" s="38" t="str">
        <f>IF(A118="","",IFERROR(INDEX('Snapshot History'!$N$6:$N$1005,MATCH(INT($B$4)&amp;"|"&amp;$A118,'Snapshot History'!$W$6:$W$1005,0)),""))</f>
        <v/>
      </c>
      <c r="H118" s="38" t="str">
        <f>IF(A118="","",IFERROR(INDEX('Snapshot History'!$O$6:$O$1005,MATCH(INT($B$5)&amp;"|"&amp;$A118,'Snapshot History'!$W$6:$W$1005,0)),""))</f>
        <v/>
      </c>
      <c r="I118" s="38" t="str">
        <f>IF(A118="","",IFERROR(INDEX('Snapshot History'!$O$6:$O$1005,MATCH(INT($B$4)&amp;"|"&amp;$A118,'Snapshot History'!$W$6:$W$1005,0)),""))</f>
        <v/>
      </c>
      <c r="J118" s="37" t="str">
        <f t="shared" si="8"/>
        <v/>
      </c>
      <c r="K118" s="37" t="str">
        <f>IF(A118="","",IFERROR(INDEX('Snapshot History'!$U$6:$U$1005,MATCH(INT($B$5)&amp;"|"&amp;$A118,'Snapshot History'!$W$6:$W$1005,0)),""))</f>
        <v/>
      </c>
      <c r="L118" s="37" t="str">
        <f>IF(A118="","",IFERROR(INDEX('Snapshot History'!$U$6:$U$1005,MATCH(INT($B$4)&amp;"|"&amp;$A118,'Snapshot History'!$W$6:$W$1005,0)),""))</f>
        <v/>
      </c>
      <c r="M118" s="44" t="str">
        <f>IF(A118="","",IFERROR(INDEX('Snapshot History'!$V$6:$V$1005,MATCH(INT($B$5)&amp;"|"&amp;$A118,'Snapshot History'!$W$6:$W$1005,0)),""))</f>
        <v/>
      </c>
      <c r="N118" s="44" t="str">
        <f>IF(A118="","",IFERROR(INDEX('Snapshot History'!$V$6:$V$1005,MATCH(INT($B$4)&amp;"|"&amp;$A118,'Snapshot History'!$W$6:$W$1005,0)),""))</f>
        <v/>
      </c>
      <c r="O118" s="37" t="str">
        <f t="shared" si="9"/>
        <v/>
      </c>
    </row>
    <row r="119" spans="1:15" x14ac:dyDescent="0.35">
      <c r="A119" s="38" t="str">
        <f>IF('Risk Register'!A89="","",'Risk Register'!A89)</f>
        <v/>
      </c>
      <c r="B119" s="44" t="str">
        <f>IF(A119="","",'Risk Register'!B89)</f>
        <v/>
      </c>
      <c r="C119" s="37" t="str">
        <f>IF(A119="","",IFERROR(INDEX('Snapshot History'!$J$6:$J$1005,MATCH(INT($B$5)&amp;"|"&amp;$A119,'Snapshot History'!$W$6:$W$1005,0)),""))</f>
        <v/>
      </c>
      <c r="D119" s="37" t="str">
        <f>IF(A119="","",IFERROR(INDEX('Snapshot History'!$J$6:$J$1005,MATCH(INT($B$4)&amp;"|"&amp;$A119,'Snapshot History'!$W$6:$W$1005,0)),""))</f>
        <v/>
      </c>
      <c r="E119" s="37" t="str">
        <f t="shared" si="7"/>
        <v/>
      </c>
      <c r="F119" s="38" t="str">
        <f>IF(A119="","",IFERROR(INDEX('Snapshot History'!$N$6:$N$1005,MATCH(INT($B$5)&amp;"|"&amp;$A119,'Snapshot History'!$W$6:$W$1005,0)),""))</f>
        <v/>
      </c>
      <c r="G119" s="38" t="str">
        <f>IF(A119="","",IFERROR(INDEX('Snapshot History'!$N$6:$N$1005,MATCH(INT($B$4)&amp;"|"&amp;$A119,'Snapshot History'!$W$6:$W$1005,0)),""))</f>
        <v/>
      </c>
      <c r="H119" s="38" t="str">
        <f>IF(A119="","",IFERROR(INDEX('Snapshot History'!$O$6:$O$1005,MATCH(INT($B$5)&amp;"|"&amp;$A119,'Snapshot History'!$W$6:$W$1005,0)),""))</f>
        <v/>
      </c>
      <c r="I119" s="38" t="str">
        <f>IF(A119="","",IFERROR(INDEX('Snapshot History'!$O$6:$O$1005,MATCH(INT($B$4)&amp;"|"&amp;$A119,'Snapshot History'!$W$6:$W$1005,0)),""))</f>
        <v/>
      </c>
      <c r="J119" s="37" t="str">
        <f t="shared" si="8"/>
        <v/>
      </c>
      <c r="K119" s="37" t="str">
        <f>IF(A119="","",IFERROR(INDEX('Snapshot History'!$U$6:$U$1005,MATCH(INT($B$5)&amp;"|"&amp;$A119,'Snapshot History'!$W$6:$W$1005,0)),""))</f>
        <v/>
      </c>
      <c r="L119" s="37" t="str">
        <f>IF(A119="","",IFERROR(INDEX('Snapshot History'!$U$6:$U$1005,MATCH(INT($B$4)&amp;"|"&amp;$A119,'Snapshot History'!$W$6:$W$1005,0)),""))</f>
        <v/>
      </c>
      <c r="M119" s="44" t="str">
        <f>IF(A119="","",IFERROR(INDEX('Snapshot History'!$V$6:$V$1005,MATCH(INT($B$5)&amp;"|"&amp;$A119,'Snapshot History'!$W$6:$W$1005,0)),""))</f>
        <v/>
      </c>
      <c r="N119" s="44" t="str">
        <f>IF(A119="","",IFERROR(INDEX('Snapshot History'!$V$6:$V$1005,MATCH(INT($B$4)&amp;"|"&amp;$A119,'Snapshot History'!$W$6:$W$1005,0)),""))</f>
        <v/>
      </c>
      <c r="O119" s="37" t="str">
        <f t="shared" si="9"/>
        <v/>
      </c>
    </row>
    <row r="120" spans="1:15" x14ac:dyDescent="0.35">
      <c r="A120" s="38" t="str">
        <f>IF('Risk Register'!A90="","",'Risk Register'!A90)</f>
        <v/>
      </c>
      <c r="B120" s="44" t="str">
        <f>IF(A120="","",'Risk Register'!B90)</f>
        <v/>
      </c>
      <c r="C120" s="37" t="str">
        <f>IF(A120="","",IFERROR(INDEX('Snapshot History'!$J$6:$J$1005,MATCH(INT($B$5)&amp;"|"&amp;$A120,'Snapshot History'!$W$6:$W$1005,0)),""))</f>
        <v/>
      </c>
      <c r="D120" s="37" t="str">
        <f>IF(A120="","",IFERROR(INDEX('Snapshot History'!$J$6:$J$1005,MATCH(INT($B$4)&amp;"|"&amp;$A120,'Snapshot History'!$W$6:$W$1005,0)),""))</f>
        <v/>
      </c>
      <c r="E120" s="37" t="str">
        <f t="shared" si="7"/>
        <v/>
      </c>
      <c r="F120" s="38" t="str">
        <f>IF(A120="","",IFERROR(INDEX('Snapshot History'!$N$6:$N$1005,MATCH(INT($B$5)&amp;"|"&amp;$A120,'Snapshot History'!$W$6:$W$1005,0)),""))</f>
        <v/>
      </c>
      <c r="G120" s="38" t="str">
        <f>IF(A120="","",IFERROR(INDEX('Snapshot History'!$N$6:$N$1005,MATCH(INT($B$4)&amp;"|"&amp;$A120,'Snapshot History'!$W$6:$W$1005,0)),""))</f>
        <v/>
      </c>
      <c r="H120" s="38" t="str">
        <f>IF(A120="","",IFERROR(INDEX('Snapshot History'!$O$6:$O$1005,MATCH(INT($B$5)&amp;"|"&amp;$A120,'Snapshot History'!$W$6:$W$1005,0)),""))</f>
        <v/>
      </c>
      <c r="I120" s="38" t="str">
        <f>IF(A120="","",IFERROR(INDEX('Snapshot History'!$O$6:$O$1005,MATCH(INT($B$4)&amp;"|"&amp;$A120,'Snapshot History'!$W$6:$W$1005,0)),""))</f>
        <v/>
      </c>
      <c r="J120" s="37" t="str">
        <f t="shared" si="8"/>
        <v/>
      </c>
      <c r="K120" s="37" t="str">
        <f>IF(A120="","",IFERROR(INDEX('Snapshot History'!$U$6:$U$1005,MATCH(INT($B$5)&amp;"|"&amp;$A120,'Snapshot History'!$W$6:$W$1005,0)),""))</f>
        <v/>
      </c>
      <c r="L120" s="37" t="str">
        <f>IF(A120="","",IFERROR(INDEX('Snapshot History'!$U$6:$U$1005,MATCH(INT($B$4)&amp;"|"&amp;$A120,'Snapshot History'!$W$6:$W$1005,0)),""))</f>
        <v/>
      </c>
      <c r="M120" s="44" t="str">
        <f>IF(A120="","",IFERROR(INDEX('Snapshot History'!$V$6:$V$1005,MATCH(INT($B$5)&amp;"|"&amp;$A120,'Snapshot History'!$W$6:$W$1005,0)),""))</f>
        <v/>
      </c>
      <c r="N120" s="44" t="str">
        <f>IF(A120="","",IFERROR(INDEX('Snapshot History'!$V$6:$V$1005,MATCH(INT($B$4)&amp;"|"&amp;$A120,'Snapshot History'!$W$6:$W$1005,0)),""))</f>
        <v/>
      </c>
      <c r="O120" s="37" t="str">
        <f t="shared" si="9"/>
        <v/>
      </c>
    </row>
    <row r="121" spans="1:15" x14ac:dyDescent="0.35">
      <c r="A121" s="38" t="str">
        <f>IF('Risk Register'!A91="","",'Risk Register'!A91)</f>
        <v/>
      </c>
      <c r="B121" s="44" t="str">
        <f>IF(A121="","",'Risk Register'!B91)</f>
        <v/>
      </c>
      <c r="C121" s="37" t="str">
        <f>IF(A121="","",IFERROR(INDEX('Snapshot History'!$J$6:$J$1005,MATCH(INT($B$5)&amp;"|"&amp;$A121,'Snapshot History'!$W$6:$W$1005,0)),""))</f>
        <v/>
      </c>
      <c r="D121" s="37" t="str">
        <f>IF(A121="","",IFERROR(INDEX('Snapshot History'!$J$6:$J$1005,MATCH(INT($B$4)&amp;"|"&amp;$A121,'Snapshot History'!$W$6:$W$1005,0)),""))</f>
        <v/>
      </c>
      <c r="E121" s="37" t="str">
        <f t="shared" si="7"/>
        <v/>
      </c>
      <c r="F121" s="38" t="str">
        <f>IF(A121="","",IFERROR(INDEX('Snapshot History'!$N$6:$N$1005,MATCH(INT($B$5)&amp;"|"&amp;$A121,'Snapshot History'!$W$6:$W$1005,0)),""))</f>
        <v/>
      </c>
      <c r="G121" s="38" t="str">
        <f>IF(A121="","",IFERROR(INDEX('Snapshot History'!$N$6:$N$1005,MATCH(INT($B$4)&amp;"|"&amp;$A121,'Snapshot History'!$W$6:$W$1005,0)),""))</f>
        <v/>
      </c>
      <c r="H121" s="38" t="str">
        <f>IF(A121="","",IFERROR(INDEX('Snapshot History'!$O$6:$O$1005,MATCH(INT($B$5)&amp;"|"&amp;$A121,'Snapshot History'!$W$6:$W$1005,0)),""))</f>
        <v/>
      </c>
      <c r="I121" s="38" t="str">
        <f>IF(A121="","",IFERROR(INDEX('Snapshot History'!$O$6:$O$1005,MATCH(INT($B$4)&amp;"|"&amp;$A121,'Snapshot History'!$W$6:$W$1005,0)),""))</f>
        <v/>
      </c>
      <c r="J121" s="37" t="str">
        <f t="shared" si="8"/>
        <v/>
      </c>
      <c r="K121" s="37" t="str">
        <f>IF(A121="","",IFERROR(INDEX('Snapshot History'!$U$6:$U$1005,MATCH(INT($B$5)&amp;"|"&amp;$A121,'Snapshot History'!$W$6:$W$1005,0)),""))</f>
        <v/>
      </c>
      <c r="L121" s="37" t="str">
        <f>IF(A121="","",IFERROR(INDEX('Snapshot History'!$U$6:$U$1005,MATCH(INT($B$4)&amp;"|"&amp;$A121,'Snapshot History'!$W$6:$W$1005,0)),""))</f>
        <v/>
      </c>
      <c r="M121" s="44" t="str">
        <f>IF(A121="","",IFERROR(INDEX('Snapshot History'!$V$6:$V$1005,MATCH(INT($B$5)&amp;"|"&amp;$A121,'Snapshot History'!$W$6:$W$1005,0)),""))</f>
        <v/>
      </c>
      <c r="N121" s="44" t="str">
        <f>IF(A121="","",IFERROR(INDEX('Snapshot History'!$V$6:$V$1005,MATCH(INT($B$4)&amp;"|"&amp;$A121,'Snapshot History'!$W$6:$W$1005,0)),""))</f>
        <v/>
      </c>
      <c r="O121" s="37" t="str">
        <f t="shared" si="9"/>
        <v/>
      </c>
    </row>
    <row r="122" spans="1:15" x14ac:dyDescent="0.35">
      <c r="A122" s="38" t="str">
        <f>IF('Risk Register'!A92="","",'Risk Register'!A92)</f>
        <v/>
      </c>
      <c r="B122" s="44" t="str">
        <f>IF(A122="","",'Risk Register'!B92)</f>
        <v/>
      </c>
      <c r="C122" s="37" t="str">
        <f>IF(A122="","",IFERROR(INDEX('Snapshot History'!$J$6:$J$1005,MATCH(INT($B$5)&amp;"|"&amp;$A122,'Snapshot History'!$W$6:$W$1005,0)),""))</f>
        <v/>
      </c>
      <c r="D122" s="37" t="str">
        <f>IF(A122="","",IFERROR(INDEX('Snapshot History'!$J$6:$J$1005,MATCH(INT($B$4)&amp;"|"&amp;$A122,'Snapshot History'!$W$6:$W$1005,0)),""))</f>
        <v/>
      </c>
      <c r="E122" s="37" t="str">
        <f t="shared" si="7"/>
        <v/>
      </c>
      <c r="F122" s="38" t="str">
        <f>IF(A122="","",IFERROR(INDEX('Snapshot History'!$N$6:$N$1005,MATCH(INT($B$5)&amp;"|"&amp;$A122,'Snapshot History'!$W$6:$W$1005,0)),""))</f>
        <v/>
      </c>
      <c r="G122" s="38" t="str">
        <f>IF(A122="","",IFERROR(INDEX('Snapshot History'!$N$6:$N$1005,MATCH(INT($B$4)&amp;"|"&amp;$A122,'Snapshot History'!$W$6:$W$1005,0)),""))</f>
        <v/>
      </c>
      <c r="H122" s="38" t="str">
        <f>IF(A122="","",IFERROR(INDEX('Snapshot History'!$O$6:$O$1005,MATCH(INT($B$5)&amp;"|"&amp;$A122,'Snapshot History'!$W$6:$W$1005,0)),""))</f>
        <v/>
      </c>
      <c r="I122" s="38" t="str">
        <f>IF(A122="","",IFERROR(INDEX('Snapshot History'!$O$6:$O$1005,MATCH(INT($B$4)&amp;"|"&amp;$A122,'Snapshot History'!$W$6:$W$1005,0)),""))</f>
        <v/>
      </c>
      <c r="J122" s="37" t="str">
        <f t="shared" si="8"/>
        <v/>
      </c>
      <c r="K122" s="37" t="str">
        <f>IF(A122="","",IFERROR(INDEX('Snapshot History'!$U$6:$U$1005,MATCH(INT($B$5)&amp;"|"&amp;$A122,'Snapshot History'!$W$6:$W$1005,0)),""))</f>
        <v/>
      </c>
      <c r="L122" s="37" t="str">
        <f>IF(A122="","",IFERROR(INDEX('Snapshot History'!$U$6:$U$1005,MATCH(INT($B$4)&amp;"|"&amp;$A122,'Snapshot History'!$W$6:$W$1005,0)),""))</f>
        <v/>
      </c>
      <c r="M122" s="44" t="str">
        <f>IF(A122="","",IFERROR(INDEX('Snapshot History'!$V$6:$V$1005,MATCH(INT($B$5)&amp;"|"&amp;$A122,'Snapshot History'!$W$6:$W$1005,0)),""))</f>
        <v/>
      </c>
      <c r="N122" s="44" t="str">
        <f>IF(A122="","",IFERROR(INDEX('Snapshot History'!$V$6:$V$1005,MATCH(INT($B$4)&amp;"|"&amp;$A122,'Snapshot History'!$W$6:$W$1005,0)),""))</f>
        <v/>
      </c>
      <c r="O122" s="37" t="str">
        <f t="shared" si="9"/>
        <v/>
      </c>
    </row>
    <row r="123" spans="1:15" x14ac:dyDescent="0.35">
      <c r="A123" s="38" t="str">
        <f>IF('Risk Register'!A93="","",'Risk Register'!A93)</f>
        <v/>
      </c>
      <c r="B123" s="44" t="str">
        <f>IF(A123="","",'Risk Register'!B93)</f>
        <v/>
      </c>
      <c r="C123" s="37" t="str">
        <f>IF(A123="","",IFERROR(INDEX('Snapshot History'!$J$6:$J$1005,MATCH(INT($B$5)&amp;"|"&amp;$A123,'Snapshot History'!$W$6:$W$1005,0)),""))</f>
        <v/>
      </c>
      <c r="D123" s="37" t="str">
        <f>IF(A123="","",IFERROR(INDEX('Snapshot History'!$J$6:$J$1005,MATCH(INT($B$4)&amp;"|"&amp;$A123,'Snapshot History'!$W$6:$W$1005,0)),""))</f>
        <v/>
      </c>
      <c r="E123" s="37" t="str">
        <f t="shared" si="7"/>
        <v/>
      </c>
      <c r="F123" s="38" t="str">
        <f>IF(A123="","",IFERROR(INDEX('Snapshot History'!$N$6:$N$1005,MATCH(INT($B$5)&amp;"|"&amp;$A123,'Snapshot History'!$W$6:$W$1005,0)),""))</f>
        <v/>
      </c>
      <c r="G123" s="38" t="str">
        <f>IF(A123="","",IFERROR(INDEX('Snapshot History'!$N$6:$N$1005,MATCH(INT($B$4)&amp;"|"&amp;$A123,'Snapshot History'!$W$6:$W$1005,0)),""))</f>
        <v/>
      </c>
      <c r="H123" s="38" t="str">
        <f>IF(A123="","",IFERROR(INDEX('Snapshot History'!$O$6:$O$1005,MATCH(INT($B$5)&amp;"|"&amp;$A123,'Snapshot History'!$W$6:$W$1005,0)),""))</f>
        <v/>
      </c>
      <c r="I123" s="38" t="str">
        <f>IF(A123="","",IFERROR(INDEX('Snapshot History'!$O$6:$O$1005,MATCH(INT($B$4)&amp;"|"&amp;$A123,'Snapshot History'!$W$6:$W$1005,0)),""))</f>
        <v/>
      </c>
      <c r="J123" s="37" t="str">
        <f t="shared" si="8"/>
        <v/>
      </c>
      <c r="K123" s="37" t="str">
        <f>IF(A123="","",IFERROR(INDEX('Snapshot History'!$U$6:$U$1005,MATCH(INT($B$5)&amp;"|"&amp;$A123,'Snapshot History'!$W$6:$W$1005,0)),""))</f>
        <v/>
      </c>
      <c r="L123" s="37" t="str">
        <f>IF(A123="","",IFERROR(INDEX('Snapshot History'!$U$6:$U$1005,MATCH(INT($B$4)&amp;"|"&amp;$A123,'Snapshot History'!$W$6:$W$1005,0)),""))</f>
        <v/>
      </c>
      <c r="M123" s="44" t="str">
        <f>IF(A123="","",IFERROR(INDEX('Snapshot History'!$V$6:$V$1005,MATCH(INT($B$5)&amp;"|"&amp;$A123,'Snapshot History'!$W$6:$W$1005,0)),""))</f>
        <v/>
      </c>
      <c r="N123" s="44" t="str">
        <f>IF(A123="","",IFERROR(INDEX('Snapshot History'!$V$6:$V$1005,MATCH(INT($B$4)&amp;"|"&amp;$A123,'Snapshot History'!$W$6:$W$1005,0)),""))</f>
        <v/>
      </c>
      <c r="O123" s="37" t="str">
        <f t="shared" si="9"/>
        <v/>
      </c>
    </row>
    <row r="124" spans="1:15" x14ac:dyDescent="0.35">
      <c r="A124" s="38" t="str">
        <f>IF('Risk Register'!A94="","",'Risk Register'!A94)</f>
        <v/>
      </c>
      <c r="B124" s="44" t="str">
        <f>IF(A124="","",'Risk Register'!B94)</f>
        <v/>
      </c>
      <c r="C124" s="37" t="str">
        <f>IF(A124="","",IFERROR(INDEX('Snapshot History'!$J$6:$J$1005,MATCH(INT($B$5)&amp;"|"&amp;$A124,'Snapshot History'!$W$6:$W$1005,0)),""))</f>
        <v/>
      </c>
      <c r="D124" s="37" t="str">
        <f>IF(A124="","",IFERROR(INDEX('Snapshot History'!$J$6:$J$1005,MATCH(INT($B$4)&amp;"|"&amp;$A124,'Snapshot History'!$W$6:$W$1005,0)),""))</f>
        <v/>
      </c>
      <c r="E124" s="37" t="str">
        <f t="shared" si="7"/>
        <v/>
      </c>
      <c r="F124" s="38" t="str">
        <f>IF(A124="","",IFERROR(INDEX('Snapshot History'!$N$6:$N$1005,MATCH(INT($B$5)&amp;"|"&amp;$A124,'Snapshot History'!$W$6:$W$1005,0)),""))</f>
        <v/>
      </c>
      <c r="G124" s="38" t="str">
        <f>IF(A124="","",IFERROR(INDEX('Snapshot History'!$N$6:$N$1005,MATCH(INT($B$4)&amp;"|"&amp;$A124,'Snapshot History'!$W$6:$W$1005,0)),""))</f>
        <v/>
      </c>
      <c r="H124" s="38" t="str">
        <f>IF(A124="","",IFERROR(INDEX('Snapshot History'!$O$6:$O$1005,MATCH(INT($B$5)&amp;"|"&amp;$A124,'Snapshot History'!$W$6:$W$1005,0)),""))</f>
        <v/>
      </c>
      <c r="I124" s="38" t="str">
        <f>IF(A124="","",IFERROR(INDEX('Snapshot History'!$O$6:$O$1005,MATCH(INT($B$4)&amp;"|"&amp;$A124,'Snapshot History'!$W$6:$W$1005,0)),""))</f>
        <v/>
      </c>
      <c r="J124" s="37" t="str">
        <f t="shared" si="8"/>
        <v/>
      </c>
      <c r="K124" s="37" t="str">
        <f>IF(A124="","",IFERROR(INDEX('Snapshot History'!$U$6:$U$1005,MATCH(INT($B$5)&amp;"|"&amp;$A124,'Snapshot History'!$W$6:$W$1005,0)),""))</f>
        <v/>
      </c>
      <c r="L124" s="37" t="str">
        <f>IF(A124="","",IFERROR(INDEX('Snapshot History'!$U$6:$U$1005,MATCH(INT($B$4)&amp;"|"&amp;$A124,'Snapshot History'!$W$6:$W$1005,0)),""))</f>
        <v/>
      </c>
      <c r="M124" s="44" t="str">
        <f>IF(A124="","",IFERROR(INDEX('Snapshot History'!$V$6:$V$1005,MATCH(INT($B$5)&amp;"|"&amp;$A124,'Snapshot History'!$W$6:$W$1005,0)),""))</f>
        <v/>
      </c>
      <c r="N124" s="44" t="str">
        <f>IF(A124="","",IFERROR(INDEX('Snapshot History'!$V$6:$V$1005,MATCH(INT($B$4)&amp;"|"&amp;$A124,'Snapshot History'!$W$6:$W$1005,0)),""))</f>
        <v/>
      </c>
      <c r="O124" s="37" t="str">
        <f t="shared" si="9"/>
        <v/>
      </c>
    </row>
    <row r="125" spans="1:15" x14ac:dyDescent="0.35">
      <c r="A125" s="38" t="str">
        <f>IF('Risk Register'!A95="","",'Risk Register'!A95)</f>
        <v/>
      </c>
      <c r="B125" s="44" t="str">
        <f>IF(A125="","",'Risk Register'!B95)</f>
        <v/>
      </c>
      <c r="C125" s="37" t="str">
        <f>IF(A125="","",IFERROR(INDEX('Snapshot History'!$J$6:$J$1005,MATCH(INT($B$5)&amp;"|"&amp;$A125,'Snapshot History'!$W$6:$W$1005,0)),""))</f>
        <v/>
      </c>
      <c r="D125" s="37" t="str">
        <f>IF(A125="","",IFERROR(INDEX('Snapshot History'!$J$6:$J$1005,MATCH(INT($B$4)&amp;"|"&amp;$A125,'Snapshot History'!$W$6:$W$1005,0)),""))</f>
        <v/>
      </c>
      <c r="E125" s="37" t="str">
        <f t="shared" si="7"/>
        <v/>
      </c>
      <c r="F125" s="38" t="str">
        <f>IF(A125="","",IFERROR(INDEX('Snapshot History'!$N$6:$N$1005,MATCH(INT($B$5)&amp;"|"&amp;$A125,'Snapshot History'!$W$6:$W$1005,0)),""))</f>
        <v/>
      </c>
      <c r="G125" s="38" t="str">
        <f>IF(A125="","",IFERROR(INDEX('Snapshot History'!$N$6:$N$1005,MATCH(INT($B$4)&amp;"|"&amp;$A125,'Snapshot History'!$W$6:$W$1005,0)),""))</f>
        <v/>
      </c>
      <c r="H125" s="38" t="str">
        <f>IF(A125="","",IFERROR(INDEX('Snapshot History'!$O$6:$O$1005,MATCH(INT($B$5)&amp;"|"&amp;$A125,'Snapshot History'!$W$6:$W$1005,0)),""))</f>
        <v/>
      </c>
      <c r="I125" s="38" t="str">
        <f>IF(A125="","",IFERROR(INDEX('Snapshot History'!$O$6:$O$1005,MATCH(INT($B$4)&amp;"|"&amp;$A125,'Snapshot History'!$W$6:$W$1005,0)),""))</f>
        <v/>
      </c>
      <c r="J125" s="37" t="str">
        <f t="shared" si="8"/>
        <v/>
      </c>
      <c r="K125" s="37" t="str">
        <f>IF(A125="","",IFERROR(INDEX('Snapshot History'!$U$6:$U$1005,MATCH(INT($B$5)&amp;"|"&amp;$A125,'Snapshot History'!$W$6:$W$1005,0)),""))</f>
        <v/>
      </c>
      <c r="L125" s="37" t="str">
        <f>IF(A125="","",IFERROR(INDEX('Snapshot History'!$U$6:$U$1005,MATCH(INT($B$4)&amp;"|"&amp;$A125,'Snapshot History'!$W$6:$W$1005,0)),""))</f>
        <v/>
      </c>
      <c r="M125" s="44" t="str">
        <f>IF(A125="","",IFERROR(INDEX('Snapshot History'!$V$6:$V$1005,MATCH(INT($B$5)&amp;"|"&amp;$A125,'Snapshot History'!$W$6:$W$1005,0)),""))</f>
        <v/>
      </c>
      <c r="N125" s="44" t="str">
        <f>IF(A125="","",IFERROR(INDEX('Snapshot History'!$V$6:$V$1005,MATCH(INT($B$4)&amp;"|"&amp;$A125,'Snapshot History'!$W$6:$W$1005,0)),""))</f>
        <v/>
      </c>
      <c r="O125" s="37" t="str">
        <f t="shared" si="9"/>
        <v/>
      </c>
    </row>
    <row r="126" spans="1:15" x14ac:dyDescent="0.35">
      <c r="A126" s="38" t="str">
        <f>IF('Risk Register'!A96="","",'Risk Register'!A96)</f>
        <v/>
      </c>
      <c r="B126" s="44" t="str">
        <f>IF(A126="","",'Risk Register'!B96)</f>
        <v/>
      </c>
      <c r="C126" s="37" t="str">
        <f>IF(A126="","",IFERROR(INDEX('Snapshot History'!$J$6:$J$1005,MATCH(INT($B$5)&amp;"|"&amp;$A126,'Snapshot History'!$W$6:$W$1005,0)),""))</f>
        <v/>
      </c>
      <c r="D126" s="37" t="str">
        <f>IF(A126="","",IFERROR(INDEX('Snapshot History'!$J$6:$J$1005,MATCH(INT($B$4)&amp;"|"&amp;$A126,'Snapshot History'!$W$6:$W$1005,0)),""))</f>
        <v/>
      </c>
      <c r="E126" s="37" t="str">
        <f t="shared" si="7"/>
        <v/>
      </c>
      <c r="F126" s="38" t="str">
        <f>IF(A126="","",IFERROR(INDEX('Snapshot History'!$N$6:$N$1005,MATCH(INT($B$5)&amp;"|"&amp;$A126,'Snapshot History'!$W$6:$W$1005,0)),""))</f>
        <v/>
      </c>
      <c r="G126" s="38" t="str">
        <f>IF(A126="","",IFERROR(INDEX('Snapshot History'!$N$6:$N$1005,MATCH(INT($B$4)&amp;"|"&amp;$A126,'Snapshot History'!$W$6:$W$1005,0)),""))</f>
        <v/>
      </c>
      <c r="H126" s="38" t="str">
        <f>IF(A126="","",IFERROR(INDEX('Snapshot History'!$O$6:$O$1005,MATCH(INT($B$5)&amp;"|"&amp;$A126,'Snapshot History'!$W$6:$W$1005,0)),""))</f>
        <v/>
      </c>
      <c r="I126" s="38" t="str">
        <f>IF(A126="","",IFERROR(INDEX('Snapshot History'!$O$6:$O$1005,MATCH(INT($B$4)&amp;"|"&amp;$A126,'Snapshot History'!$W$6:$W$1005,0)),""))</f>
        <v/>
      </c>
      <c r="J126" s="37" t="str">
        <f t="shared" si="8"/>
        <v/>
      </c>
      <c r="K126" s="37" t="str">
        <f>IF(A126="","",IFERROR(INDEX('Snapshot History'!$U$6:$U$1005,MATCH(INT($B$5)&amp;"|"&amp;$A126,'Snapshot History'!$W$6:$W$1005,0)),""))</f>
        <v/>
      </c>
      <c r="L126" s="37" t="str">
        <f>IF(A126="","",IFERROR(INDEX('Snapshot History'!$U$6:$U$1005,MATCH(INT($B$4)&amp;"|"&amp;$A126,'Snapshot History'!$W$6:$W$1005,0)),""))</f>
        <v/>
      </c>
      <c r="M126" s="44" t="str">
        <f>IF(A126="","",IFERROR(INDEX('Snapshot History'!$V$6:$V$1005,MATCH(INT($B$5)&amp;"|"&amp;$A126,'Snapshot History'!$W$6:$W$1005,0)),""))</f>
        <v/>
      </c>
      <c r="N126" s="44" t="str">
        <f>IF(A126="","",IFERROR(INDEX('Snapshot History'!$V$6:$V$1005,MATCH(INT($B$4)&amp;"|"&amp;$A126,'Snapshot History'!$W$6:$W$1005,0)),""))</f>
        <v/>
      </c>
      <c r="O126" s="37" t="str">
        <f t="shared" si="9"/>
        <v/>
      </c>
    </row>
    <row r="127" spans="1:15" x14ac:dyDescent="0.35">
      <c r="A127" s="38" t="str">
        <f>IF('Risk Register'!A97="","",'Risk Register'!A97)</f>
        <v/>
      </c>
      <c r="B127" s="44" t="str">
        <f>IF(A127="","",'Risk Register'!B97)</f>
        <v/>
      </c>
      <c r="C127" s="37" t="str">
        <f>IF(A127="","",IFERROR(INDEX('Snapshot History'!$J$6:$J$1005,MATCH(INT($B$5)&amp;"|"&amp;$A127,'Snapshot History'!$W$6:$W$1005,0)),""))</f>
        <v/>
      </c>
      <c r="D127" s="37" t="str">
        <f>IF(A127="","",IFERROR(INDEX('Snapshot History'!$J$6:$J$1005,MATCH(INT($B$4)&amp;"|"&amp;$A127,'Snapshot History'!$W$6:$W$1005,0)),""))</f>
        <v/>
      </c>
      <c r="E127" s="37" t="str">
        <f t="shared" si="7"/>
        <v/>
      </c>
      <c r="F127" s="38" t="str">
        <f>IF(A127="","",IFERROR(INDEX('Snapshot History'!$N$6:$N$1005,MATCH(INT($B$5)&amp;"|"&amp;$A127,'Snapshot History'!$W$6:$W$1005,0)),""))</f>
        <v/>
      </c>
      <c r="G127" s="38" t="str">
        <f>IF(A127="","",IFERROR(INDEX('Snapshot History'!$N$6:$N$1005,MATCH(INT($B$4)&amp;"|"&amp;$A127,'Snapshot History'!$W$6:$W$1005,0)),""))</f>
        <v/>
      </c>
      <c r="H127" s="38" t="str">
        <f>IF(A127="","",IFERROR(INDEX('Snapshot History'!$O$6:$O$1005,MATCH(INT($B$5)&amp;"|"&amp;$A127,'Snapshot History'!$W$6:$W$1005,0)),""))</f>
        <v/>
      </c>
      <c r="I127" s="38" t="str">
        <f>IF(A127="","",IFERROR(INDEX('Snapshot History'!$O$6:$O$1005,MATCH(INT($B$4)&amp;"|"&amp;$A127,'Snapshot History'!$W$6:$W$1005,0)),""))</f>
        <v/>
      </c>
      <c r="J127" s="37" t="str">
        <f t="shared" si="8"/>
        <v/>
      </c>
      <c r="K127" s="37" t="str">
        <f>IF(A127="","",IFERROR(INDEX('Snapshot History'!$U$6:$U$1005,MATCH(INT($B$5)&amp;"|"&amp;$A127,'Snapshot History'!$W$6:$W$1005,0)),""))</f>
        <v/>
      </c>
      <c r="L127" s="37" t="str">
        <f>IF(A127="","",IFERROR(INDEX('Snapshot History'!$U$6:$U$1005,MATCH(INT($B$4)&amp;"|"&amp;$A127,'Snapshot History'!$W$6:$W$1005,0)),""))</f>
        <v/>
      </c>
      <c r="M127" s="44" t="str">
        <f>IF(A127="","",IFERROR(INDEX('Snapshot History'!$V$6:$V$1005,MATCH(INT($B$5)&amp;"|"&amp;$A127,'Snapshot History'!$W$6:$W$1005,0)),""))</f>
        <v/>
      </c>
      <c r="N127" s="44" t="str">
        <f>IF(A127="","",IFERROR(INDEX('Snapshot History'!$V$6:$V$1005,MATCH(INT($B$4)&amp;"|"&amp;$A127,'Snapshot History'!$W$6:$W$1005,0)),""))</f>
        <v/>
      </c>
      <c r="O127" s="37" t="str">
        <f t="shared" si="9"/>
        <v/>
      </c>
    </row>
    <row r="128" spans="1:15" x14ac:dyDescent="0.35">
      <c r="A128" s="38" t="str">
        <f>IF('Risk Register'!A98="","",'Risk Register'!A98)</f>
        <v/>
      </c>
      <c r="B128" s="44" t="str">
        <f>IF(A128="","",'Risk Register'!B98)</f>
        <v/>
      </c>
      <c r="C128" s="37" t="str">
        <f>IF(A128="","",IFERROR(INDEX('Snapshot History'!$J$6:$J$1005,MATCH(INT($B$5)&amp;"|"&amp;$A128,'Snapshot History'!$W$6:$W$1005,0)),""))</f>
        <v/>
      </c>
      <c r="D128" s="37" t="str">
        <f>IF(A128="","",IFERROR(INDEX('Snapshot History'!$J$6:$J$1005,MATCH(INT($B$4)&amp;"|"&amp;$A128,'Snapshot History'!$W$6:$W$1005,0)),""))</f>
        <v/>
      </c>
      <c r="E128" s="37" t="str">
        <f t="shared" si="7"/>
        <v/>
      </c>
      <c r="F128" s="38" t="str">
        <f>IF(A128="","",IFERROR(INDEX('Snapshot History'!$N$6:$N$1005,MATCH(INT($B$5)&amp;"|"&amp;$A128,'Snapshot History'!$W$6:$W$1005,0)),""))</f>
        <v/>
      </c>
      <c r="G128" s="38" t="str">
        <f>IF(A128="","",IFERROR(INDEX('Snapshot History'!$N$6:$N$1005,MATCH(INT($B$4)&amp;"|"&amp;$A128,'Snapshot History'!$W$6:$W$1005,0)),""))</f>
        <v/>
      </c>
      <c r="H128" s="38" t="str">
        <f>IF(A128="","",IFERROR(INDEX('Snapshot History'!$O$6:$O$1005,MATCH(INT($B$5)&amp;"|"&amp;$A128,'Snapshot History'!$W$6:$W$1005,0)),""))</f>
        <v/>
      </c>
      <c r="I128" s="38" t="str">
        <f>IF(A128="","",IFERROR(INDEX('Snapshot History'!$O$6:$O$1005,MATCH(INT($B$4)&amp;"|"&amp;$A128,'Snapshot History'!$W$6:$W$1005,0)),""))</f>
        <v/>
      </c>
      <c r="J128" s="37" t="str">
        <f t="shared" si="8"/>
        <v/>
      </c>
      <c r="K128" s="37" t="str">
        <f>IF(A128="","",IFERROR(INDEX('Snapshot History'!$U$6:$U$1005,MATCH(INT($B$5)&amp;"|"&amp;$A128,'Snapshot History'!$W$6:$W$1005,0)),""))</f>
        <v/>
      </c>
      <c r="L128" s="37" t="str">
        <f>IF(A128="","",IFERROR(INDEX('Snapshot History'!$U$6:$U$1005,MATCH(INT($B$4)&amp;"|"&amp;$A128,'Snapshot History'!$W$6:$W$1005,0)),""))</f>
        <v/>
      </c>
      <c r="M128" s="44" t="str">
        <f>IF(A128="","",IFERROR(INDEX('Snapshot History'!$V$6:$V$1005,MATCH(INT($B$5)&amp;"|"&amp;$A128,'Snapshot History'!$W$6:$W$1005,0)),""))</f>
        <v/>
      </c>
      <c r="N128" s="44" t="str">
        <f>IF(A128="","",IFERROR(INDEX('Snapshot History'!$V$6:$V$1005,MATCH(INT($B$4)&amp;"|"&amp;$A128,'Snapshot History'!$W$6:$W$1005,0)),""))</f>
        <v/>
      </c>
      <c r="O128" s="37" t="str">
        <f t="shared" si="9"/>
        <v/>
      </c>
    </row>
    <row r="129" spans="1:15" x14ac:dyDescent="0.35">
      <c r="A129" s="38" t="str">
        <f>IF('Risk Register'!A99="","",'Risk Register'!A99)</f>
        <v/>
      </c>
      <c r="B129" s="44" t="str">
        <f>IF(A129="","",'Risk Register'!B99)</f>
        <v/>
      </c>
      <c r="C129" s="37" t="str">
        <f>IF(A129="","",IFERROR(INDEX('Snapshot History'!$J$6:$J$1005,MATCH(INT($B$5)&amp;"|"&amp;$A129,'Snapshot History'!$W$6:$W$1005,0)),""))</f>
        <v/>
      </c>
      <c r="D129" s="37" t="str">
        <f>IF(A129="","",IFERROR(INDEX('Snapshot History'!$J$6:$J$1005,MATCH(INT($B$4)&amp;"|"&amp;$A129,'Snapshot History'!$W$6:$W$1005,0)),""))</f>
        <v/>
      </c>
      <c r="E129" s="37" t="str">
        <f t="shared" si="7"/>
        <v/>
      </c>
      <c r="F129" s="38" t="str">
        <f>IF(A129="","",IFERROR(INDEX('Snapshot History'!$N$6:$N$1005,MATCH(INT($B$5)&amp;"|"&amp;$A129,'Snapshot History'!$W$6:$W$1005,0)),""))</f>
        <v/>
      </c>
      <c r="G129" s="38" t="str">
        <f>IF(A129="","",IFERROR(INDEX('Snapshot History'!$N$6:$N$1005,MATCH(INT($B$4)&amp;"|"&amp;$A129,'Snapshot History'!$W$6:$W$1005,0)),""))</f>
        <v/>
      </c>
      <c r="H129" s="38" t="str">
        <f>IF(A129="","",IFERROR(INDEX('Snapshot History'!$O$6:$O$1005,MATCH(INT($B$5)&amp;"|"&amp;$A129,'Snapshot History'!$W$6:$W$1005,0)),""))</f>
        <v/>
      </c>
      <c r="I129" s="38" t="str">
        <f>IF(A129="","",IFERROR(INDEX('Snapshot History'!$O$6:$O$1005,MATCH(INT($B$4)&amp;"|"&amp;$A129,'Snapshot History'!$W$6:$W$1005,0)),""))</f>
        <v/>
      </c>
      <c r="J129" s="37" t="str">
        <f t="shared" si="8"/>
        <v/>
      </c>
      <c r="K129" s="37" t="str">
        <f>IF(A129="","",IFERROR(INDEX('Snapshot History'!$U$6:$U$1005,MATCH(INT($B$5)&amp;"|"&amp;$A129,'Snapshot History'!$W$6:$W$1005,0)),""))</f>
        <v/>
      </c>
      <c r="L129" s="37" t="str">
        <f>IF(A129="","",IFERROR(INDEX('Snapshot History'!$U$6:$U$1005,MATCH(INT($B$4)&amp;"|"&amp;$A129,'Snapshot History'!$W$6:$W$1005,0)),""))</f>
        <v/>
      </c>
      <c r="M129" s="44" t="str">
        <f>IF(A129="","",IFERROR(INDEX('Snapshot History'!$V$6:$V$1005,MATCH(INT($B$5)&amp;"|"&amp;$A129,'Snapshot History'!$W$6:$W$1005,0)),""))</f>
        <v/>
      </c>
      <c r="N129" s="44" t="str">
        <f>IF(A129="","",IFERROR(INDEX('Snapshot History'!$V$6:$V$1005,MATCH(INT($B$4)&amp;"|"&amp;$A129,'Snapshot History'!$W$6:$W$1005,0)),""))</f>
        <v/>
      </c>
      <c r="O129" s="37" t="str">
        <f t="shared" si="9"/>
        <v/>
      </c>
    </row>
    <row r="130" spans="1:15" x14ac:dyDescent="0.35">
      <c r="A130" s="38" t="str">
        <f>IF('Risk Register'!A100="","",'Risk Register'!A100)</f>
        <v/>
      </c>
      <c r="B130" s="44" t="str">
        <f>IF(A130="","",'Risk Register'!B100)</f>
        <v/>
      </c>
      <c r="C130" s="37" t="str">
        <f>IF(A130="","",IFERROR(INDEX('Snapshot History'!$J$6:$J$1005,MATCH(INT($B$5)&amp;"|"&amp;$A130,'Snapshot History'!$W$6:$W$1005,0)),""))</f>
        <v/>
      </c>
      <c r="D130" s="37" t="str">
        <f>IF(A130="","",IFERROR(INDEX('Snapshot History'!$J$6:$J$1005,MATCH(INT($B$4)&amp;"|"&amp;$A130,'Snapshot History'!$W$6:$W$1005,0)),""))</f>
        <v/>
      </c>
      <c r="E130" s="37" t="str">
        <f t="shared" si="7"/>
        <v/>
      </c>
      <c r="F130" s="38" t="str">
        <f>IF(A130="","",IFERROR(INDEX('Snapshot History'!$N$6:$N$1005,MATCH(INT($B$5)&amp;"|"&amp;$A130,'Snapshot History'!$W$6:$W$1005,0)),""))</f>
        <v/>
      </c>
      <c r="G130" s="38" t="str">
        <f>IF(A130="","",IFERROR(INDEX('Snapshot History'!$N$6:$N$1005,MATCH(INT($B$4)&amp;"|"&amp;$A130,'Snapshot History'!$W$6:$W$1005,0)),""))</f>
        <v/>
      </c>
      <c r="H130" s="38" t="str">
        <f>IF(A130="","",IFERROR(INDEX('Snapshot History'!$O$6:$O$1005,MATCH(INT($B$5)&amp;"|"&amp;$A130,'Snapshot History'!$W$6:$W$1005,0)),""))</f>
        <v/>
      </c>
      <c r="I130" s="38" t="str">
        <f>IF(A130="","",IFERROR(INDEX('Snapshot History'!$O$6:$O$1005,MATCH(INT($B$4)&amp;"|"&amp;$A130,'Snapshot History'!$W$6:$W$1005,0)),""))</f>
        <v/>
      </c>
      <c r="J130" s="37" t="str">
        <f t="shared" si="8"/>
        <v/>
      </c>
      <c r="K130" s="37" t="str">
        <f>IF(A130="","",IFERROR(INDEX('Snapshot History'!$U$6:$U$1005,MATCH(INT($B$5)&amp;"|"&amp;$A130,'Snapshot History'!$W$6:$W$1005,0)),""))</f>
        <v/>
      </c>
      <c r="L130" s="37" t="str">
        <f>IF(A130="","",IFERROR(INDEX('Snapshot History'!$U$6:$U$1005,MATCH(INT($B$4)&amp;"|"&amp;$A130,'Snapshot History'!$W$6:$W$1005,0)),""))</f>
        <v/>
      </c>
      <c r="M130" s="44" t="str">
        <f>IF(A130="","",IFERROR(INDEX('Snapshot History'!$V$6:$V$1005,MATCH(INT($B$5)&amp;"|"&amp;$A130,'Snapshot History'!$W$6:$W$1005,0)),""))</f>
        <v/>
      </c>
      <c r="N130" s="44" t="str">
        <f>IF(A130="","",IFERROR(INDEX('Snapshot History'!$V$6:$V$1005,MATCH(INT($B$4)&amp;"|"&amp;$A130,'Snapshot History'!$W$6:$W$1005,0)),""))</f>
        <v/>
      </c>
      <c r="O130" s="37" t="str">
        <f t="shared" si="9"/>
        <v/>
      </c>
    </row>
    <row r="131" spans="1:15" x14ac:dyDescent="0.35">
      <c r="A131" s="38" t="str">
        <f>IF('Risk Register'!A101="","",'Risk Register'!A101)</f>
        <v/>
      </c>
      <c r="B131" s="44" t="str">
        <f>IF(A131="","",'Risk Register'!B101)</f>
        <v/>
      </c>
      <c r="C131" s="37" t="str">
        <f>IF(A131="","",IFERROR(INDEX('Snapshot History'!$J$6:$J$1005,MATCH(INT($B$5)&amp;"|"&amp;$A131,'Snapshot History'!$W$6:$W$1005,0)),""))</f>
        <v/>
      </c>
      <c r="D131" s="37" t="str">
        <f>IF(A131="","",IFERROR(INDEX('Snapshot History'!$J$6:$J$1005,MATCH(INT($B$4)&amp;"|"&amp;$A131,'Snapshot History'!$W$6:$W$1005,0)),""))</f>
        <v/>
      </c>
      <c r="E131" s="37" t="str">
        <f t="shared" si="7"/>
        <v/>
      </c>
      <c r="F131" s="38" t="str">
        <f>IF(A131="","",IFERROR(INDEX('Snapshot History'!$N$6:$N$1005,MATCH(INT($B$5)&amp;"|"&amp;$A131,'Snapshot History'!$W$6:$W$1005,0)),""))</f>
        <v/>
      </c>
      <c r="G131" s="38" t="str">
        <f>IF(A131="","",IFERROR(INDEX('Snapshot History'!$N$6:$N$1005,MATCH(INT($B$4)&amp;"|"&amp;$A131,'Snapshot History'!$W$6:$W$1005,0)),""))</f>
        <v/>
      </c>
      <c r="H131" s="38" t="str">
        <f>IF(A131="","",IFERROR(INDEX('Snapshot History'!$O$6:$O$1005,MATCH(INT($B$5)&amp;"|"&amp;$A131,'Snapshot History'!$W$6:$W$1005,0)),""))</f>
        <v/>
      </c>
      <c r="I131" s="38" t="str">
        <f>IF(A131="","",IFERROR(INDEX('Snapshot History'!$O$6:$O$1005,MATCH(INT($B$4)&amp;"|"&amp;$A131,'Snapshot History'!$W$6:$W$1005,0)),""))</f>
        <v/>
      </c>
      <c r="J131" s="37" t="str">
        <f t="shared" si="8"/>
        <v/>
      </c>
      <c r="K131" s="37" t="str">
        <f>IF(A131="","",IFERROR(INDEX('Snapshot History'!$U$6:$U$1005,MATCH(INT($B$5)&amp;"|"&amp;$A131,'Snapshot History'!$W$6:$W$1005,0)),""))</f>
        <v/>
      </c>
      <c r="L131" s="37" t="str">
        <f>IF(A131="","",IFERROR(INDEX('Snapshot History'!$U$6:$U$1005,MATCH(INT($B$4)&amp;"|"&amp;$A131,'Snapshot History'!$W$6:$W$1005,0)),""))</f>
        <v/>
      </c>
      <c r="M131" s="44" t="str">
        <f>IF(A131="","",IFERROR(INDEX('Snapshot History'!$V$6:$V$1005,MATCH(INT($B$5)&amp;"|"&amp;$A131,'Snapshot History'!$W$6:$W$1005,0)),""))</f>
        <v/>
      </c>
      <c r="N131" s="44" t="str">
        <f>IF(A131="","",IFERROR(INDEX('Snapshot History'!$V$6:$V$1005,MATCH(INT($B$4)&amp;"|"&amp;$A131,'Snapshot History'!$W$6:$W$1005,0)),""))</f>
        <v/>
      </c>
      <c r="O131" s="37" t="str">
        <f t="shared" si="9"/>
        <v/>
      </c>
    </row>
    <row r="132" spans="1:15" x14ac:dyDescent="0.35">
      <c r="A132" s="38" t="str">
        <f>IF('Risk Register'!A102="","",'Risk Register'!A102)</f>
        <v/>
      </c>
      <c r="B132" s="44" t="str">
        <f>IF(A132="","",'Risk Register'!B102)</f>
        <v/>
      </c>
      <c r="C132" s="37" t="str">
        <f>IF(A132="","",IFERROR(INDEX('Snapshot History'!$J$6:$J$1005,MATCH(INT($B$5)&amp;"|"&amp;$A132,'Snapshot History'!$W$6:$W$1005,0)),""))</f>
        <v/>
      </c>
      <c r="D132" s="37" t="str">
        <f>IF(A132="","",IFERROR(INDEX('Snapshot History'!$J$6:$J$1005,MATCH(INT($B$4)&amp;"|"&amp;$A132,'Snapshot History'!$W$6:$W$1005,0)),""))</f>
        <v/>
      </c>
      <c r="E132" s="37" t="str">
        <f t="shared" ref="E132:E135" si="10">IF(OR(C132="",D132=""),"",D132-C132)</f>
        <v/>
      </c>
      <c r="F132" s="38" t="str">
        <f>IF(A132="","",IFERROR(INDEX('Snapshot History'!$N$6:$N$1005,MATCH(INT($B$5)&amp;"|"&amp;$A132,'Snapshot History'!$W$6:$W$1005,0)),""))</f>
        <v/>
      </c>
      <c r="G132" s="38" t="str">
        <f>IF(A132="","",IFERROR(INDEX('Snapshot History'!$N$6:$N$1005,MATCH(INT($B$4)&amp;"|"&amp;$A132,'Snapshot History'!$W$6:$W$1005,0)),""))</f>
        <v/>
      </c>
      <c r="H132" s="38" t="str">
        <f>IF(A132="","",IFERROR(INDEX('Snapshot History'!$O$6:$O$1005,MATCH(INT($B$5)&amp;"|"&amp;$A132,'Snapshot History'!$W$6:$W$1005,0)),""))</f>
        <v/>
      </c>
      <c r="I132" s="38" t="str">
        <f>IF(A132="","",IFERROR(INDEX('Snapshot History'!$O$6:$O$1005,MATCH(INT($B$4)&amp;"|"&amp;$A132,'Snapshot History'!$W$6:$W$1005,0)),""))</f>
        <v/>
      </c>
      <c r="J132" s="37" t="str">
        <f t="shared" ref="J132:J135" si="11">IF(A132="","",IF(AND(C132="",D132=""),"Not in either snapshot",IF(C132="","New in current",IF(D132="","Not in current",IF(E132&gt;0,"Worsened",IF(E132&lt;0,"Improved",IF(OR(F132&lt;&gt;G132,H132&lt;&gt;I132),"Status changed","Unchanged")))))))</f>
        <v/>
      </c>
      <c r="K132" s="37" t="str">
        <f>IF(A132="","",IFERROR(INDEX('Snapshot History'!$U$6:$U$1005,MATCH(INT($B$5)&amp;"|"&amp;$A132,'Snapshot History'!$W$6:$W$1005,0)),""))</f>
        <v/>
      </c>
      <c r="L132" s="37" t="str">
        <f>IF(A132="","",IFERROR(INDEX('Snapshot History'!$U$6:$U$1005,MATCH(INT($B$4)&amp;"|"&amp;$A132,'Snapshot History'!$W$6:$W$1005,0)),""))</f>
        <v/>
      </c>
      <c r="M132" s="44" t="str">
        <f>IF(A132="","",IFERROR(INDEX('Snapshot History'!$V$6:$V$1005,MATCH(INT($B$5)&amp;"|"&amp;$A132,'Snapshot History'!$W$6:$W$1005,0)),""))</f>
        <v/>
      </c>
      <c r="N132" s="44" t="str">
        <f>IF(A132="","",IFERROR(INDEX('Snapshot History'!$V$6:$V$1005,MATCH(INT($B$4)&amp;"|"&amp;$A132,'Snapshot History'!$W$6:$W$1005,0)),""))</f>
        <v/>
      </c>
      <c r="O132" s="37" t="str">
        <f t="shared" ref="O132:O135" si="12">IF(A132="","",IF(OR(C132="",D132=""),"Not comparable (composition)",IF(K132&lt;&gt;L132,"Appetite version changed",IF(M132&lt;&gt;N132,"Assessment basis changed","Like-for-like"))))</f>
        <v/>
      </c>
    </row>
    <row r="133" spans="1:15" x14ac:dyDescent="0.35">
      <c r="A133" s="38" t="str">
        <f>IF('Risk Register'!A103="","",'Risk Register'!A103)</f>
        <v/>
      </c>
      <c r="B133" s="44" t="str">
        <f>IF(A133="","",'Risk Register'!B103)</f>
        <v/>
      </c>
      <c r="C133" s="37" t="str">
        <f>IF(A133="","",IFERROR(INDEX('Snapshot History'!$J$6:$J$1005,MATCH(INT($B$5)&amp;"|"&amp;$A133,'Snapshot History'!$W$6:$W$1005,0)),""))</f>
        <v/>
      </c>
      <c r="D133" s="37" t="str">
        <f>IF(A133="","",IFERROR(INDEX('Snapshot History'!$J$6:$J$1005,MATCH(INT($B$4)&amp;"|"&amp;$A133,'Snapshot History'!$W$6:$W$1005,0)),""))</f>
        <v/>
      </c>
      <c r="E133" s="37" t="str">
        <f t="shared" si="10"/>
        <v/>
      </c>
      <c r="F133" s="38" t="str">
        <f>IF(A133="","",IFERROR(INDEX('Snapshot History'!$N$6:$N$1005,MATCH(INT($B$5)&amp;"|"&amp;$A133,'Snapshot History'!$W$6:$W$1005,0)),""))</f>
        <v/>
      </c>
      <c r="G133" s="38" t="str">
        <f>IF(A133="","",IFERROR(INDEX('Snapshot History'!$N$6:$N$1005,MATCH(INT($B$4)&amp;"|"&amp;$A133,'Snapshot History'!$W$6:$W$1005,0)),""))</f>
        <v/>
      </c>
      <c r="H133" s="38" t="str">
        <f>IF(A133="","",IFERROR(INDEX('Snapshot History'!$O$6:$O$1005,MATCH(INT($B$5)&amp;"|"&amp;$A133,'Snapshot History'!$W$6:$W$1005,0)),""))</f>
        <v/>
      </c>
      <c r="I133" s="38" t="str">
        <f>IF(A133="","",IFERROR(INDEX('Snapshot History'!$O$6:$O$1005,MATCH(INT($B$4)&amp;"|"&amp;$A133,'Snapshot History'!$W$6:$W$1005,0)),""))</f>
        <v/>
      </c>
      <c r="J133" s="37" t="str">
        <f t="shared" si="11"/>
        <v/>
      </c>
      <c r="K133" s="37" t="str">
        <f>IF(A133="","",IFERROR(INDEX('Snapshot History'!$U$6:$U$1005,MATCH(INT($B$5)&amp;"|"&amp;$A133,'Snapshot History'!$W$6:$W$1005,0)),""))</f>
        <v/>
      </c>
      <c r="L133" s="37" t="str">
        <f>IF(A133="","",IFERROR(INDEX('Snapshot History'!$U$6:$U$1005,MATCH(INT($B$4)&amp;"|"&amp;$A133,'Snapshot History'!$W$6:$W$1005,0)),""))</f>
        <v/>
      </c>
      <c r="M133" s="44" t="str">
        <f>IF(A133="","",IFERROR(INDEX('Snapshot History'!$V$6:$V$1005,MATCH(INT($B$5)&amp;"|"&amp;$A133,'Snapshot History'!$W$6:$W$1005,0)),""))</f>
        <v/>
      </c>
      <c r="N133" s="44" t="str">
        <f>IF(A133="","",IFERROR(INDEX('Snapshot History'!$V$6:$V$1005,MATCH(INT($B$4)&amp;"|"&amp;$A133,'Snapshot History'!$W$6:$W$1005,0)),""))</f>
        <v/>
      </c>
      <c r="O133" s="37" t="str">
        <f t="shared" si="12"/>
        <v/>
      </c>
    </row>
    <row r="134" spans="1:15" x14ac:dyDescent="0.35">
      <c r="A134" s="38" t="str">
        <f>IF('Risk Register'!A104="","",'Risk Register'!A104)</f>
        <v/>
      </c>
      <c r="B134" s="44" t="str">
        <f>IF(A134="","",'Risk Register'!B104)</f>
        <v/>
      </c>
      <c r="C134" s="37" t="str">
        <f>IF(A134="","",IFERROR(INDEX('Snapshot History'!$J$6:$J$1005,MATCH(INT($B$5)&amp;"|"&amp;$A134,'Snapshot History'!$W$6:$W$1005,0)),""))</f>
        <v/>
      </c>
      <c r="D134" s="37" t="str">
        <f>IF(A134="","",IFERROR(INDEX('Snapshot History'!$J$6:$J$1005,MATCH(INT($B$4)&amp;"|"&amp;$A134,'Snapshot History'!$W$6:$W$1005,0)),""))</f>
        <v/>
      </c>
      <c r="E134" s="37" t="str">
        <f t="shared" si="10"/>
        <v/>
      </c>
      <c r="F134" s="38" t="str">
        <f>IF(A134="","",IFERROR(INDEX('Snapshot History'!$N$6:$N$1005,MATCH(INT($B$5)&amp;"|"&amp;$A134,'Snapshot History'!$W$6:$W$1005,0)),""))</f>
        <v/>
      </c>
      <c r="G134" s="38" t="str">
        <f>IF(A134="","",IFERROR(INDEX('Snapshot History'!$N$6:$N$1005,MATCH(INT($B$4)&amp;"|"&amp;$A134,'Snapshot History'!$W$6:$W$1005,0)),""))</f>
        <v/>
      </c>
      <c r="H134" s="38" t="str">
        <f>IF(A134="","",IFERROR(INDEX('Snapshot History'!$O$6:$O$1005,MATCH(INT($B$5)&amp;"|"&amp;$A134,'Snapshot History'!$W$6:$W$1005,0)),""))</f>
        <v/>
      </c>
      <c r="I134" s="38" t="str">
        <f>IF(A134="","",IFERROR(INDEX('Snapshot History'!$O$6:$O$1005,MATCH(INT($B$4)&amp;"|"&amp;$A134,'Snapshot History'!$W$6:$W$1005,0)),""))</f>
        <v/>
      </c>
      <c r="J134" s="37" t="str">
        <f t="shared" si="11"/>
        <v/>
      </c>
      <c r="K134" s="37" t="str">
        <f>IF(A134="","",IFERROR(INDEX('Snapshot History'!$U$6:$U$1005,MATCH(INT($B$5)&amp;"|"&amp;$A134,'Snapshot History'!$W$6:$W$1005,0)),""))</f>
        <v/>
      </c>
      <c r="L134" s="37" t="str">
        <f>IF(A134="","",IFERROR(INDEX('Snapshot History'!$U$6:$U$1005,MATCH(INT($B$4)&amp;"|"&amp;$A134,'Snapshot History'!$W$6:$W$1005,0)),""))</f>
        <v/>
      </c>
      <c r="M134" s="44" t="str">
        <f>IF(A134="","",IFERROR(INDEX('Snapshot History'!$V$6:$V$1005,MATCH(INT($B$5)&amp;"|"&amp;$A134,'Snapshot History'!$W$6:$W$1005,0)),""))</f>
        <v/>
      </c>
      <c r="N134" s="44" t="str">
        <f>IF(A134="","",IFERROR(INDEX('Snapshot History'!$V$6:$V$1005,MATCH(INT($B$4)&amp;"|"&amp;$A134,'Snapshot History'!$W$6:$W$1005,0)),""))</f>
        <v/>
      </c>
      <c r="O134" s="37" t="str">
        <f t="shared" si="12"/>
        <v/>
      </c>
    </row>
    <row r="135" spans="1:15" x14ac:dyDescent="0.35">
      <c r="A135" s="38" t="str">
        <f>IF('Risk Register'!A105="","",'Risk Register'!A105)</f>
        <v/>
      </c>
      <c r="B135" s="44" t="str">
        <f>IF(A135="","",'Risk Register'!B105)</f>
        <v/>
      </c>
      <c r="C135" s="37" t="str">
        <f>IF(A135="","",IFERROR(INDEX('Snapshot History'!$J$6:$J$1005,MATCH(INT($B$5)&amp;"|"&amp;$A135,'Snapshot History'!$W$6:$W$1005,0)),""))</f>
        <v/>
      </c>
      <c r="D135" s="37" t="str">
        <f>IF(A135="","",IFERROR(INDEX('Snapshot History'!$J$6:$J$1005,MATCH(INT($B$4)&amp;"|"&amp;$A135,'Snapshot History'!$W$6:$W$1005,0)),""))</f>
        <v/>
      </c>
      <c r="E135" s="37" t="str">
        <f t="shared" si="10"/>
        <v/>
      </c>
      <c r="F135" s="38" t="str">
        <f>IF(A135="","",IFERROR(INDEX('Snapshot History'!$N$6:$N$1005,MATCH(INT($B$5)&amp;"|"&amp;$A135,'Snapshot History'!$W$6:$W$1005,0)),""))</f>
        <v/>
      </c>
      <c r="G135" s="38" t="str">
        <f>IF(A135="","",IFERROR(INDEX('Snapshot History'!$N$6:$N$1005,MATCH(INT($B$4)&amp;"|"&amp;$A135,'Snapshot History'!$W$6:$W$1005,0)),""))</f>
        <v/>
      </c>
      <c r="H135" s="38" t="str">
        <f>IF(A135="","",IFERROR(INDEX('Snapshot History'!$O$6:$O$1005,MATCH(INT($B$5)&amp;"|"&amp;$A135,'Snapshot History'!$W$6:$W$1005,0)),""))</f>
        <v/>
      </c>
      <c r="I135" s="38" t="str">
        <f>IF(A135="","",IFERROR(INDEX('Snapshot History'!$O$6:$O$1005,MATCH(INT($B$4)&amp;"|"&amp;$A135,'Snapshot History'!$W$6:$W$1005,0)),""))</f>
        <v/>
      </c>
      <c r="J135" s="37" t="str">
        <f t="shared" si="11"/>
        <v/>
      </c>
      <c r="K135" s="37" t="str">
        <f>IF(A135="","",IFERROR(INDEX('Snapshot History'!$U$6:$U$1005,MATCH(INT($B$5)&amp;"|"&amp;$A135,'Snapshot History'!$W$6:$W$1005,0)),""))</f>
        <v/>
      </c>
      <c r="L135" s="37" t="str">
        <f>IF(A135="","",IFERROR(INDEX('Snapshot History'!$U$6:$U$1005,MATCH(INT($B$4)&amp;"|"&amp;$A135,'Snapshot History'!$W$6:$W$1005,0)),""))</f>
        <v/>
      </c>
      <c r="M135" s="44" t="str">
        <f>IF(A135="","",IFERROR(INDEX('Snapshot History'!$V$6:$V$1005,MATCH(INT($B$5)&amp;"|"&amp;$A135,'Snapshot History'!$W$6:$W$1005,0)),""))</f>
        <v/>
      </c>
      <c r="N135" s="44" t="str">
        <f>IF(A135="","",IFERROR(INDEX('Snapshot History'!$V$6:$V$1005,MATCH(INT($B$4)&amp;"|"&amp;$A135,'Snapshot History'!$W$6:$W$1005,0)),""))</f>
        <v/>
      </c>
      <c r="O135" s="37" t="str">
        <f t="shared" si="12"/>
        <v/>
      </c>
    </row>
  </sheetData>
  <conditionalFormatting sqref="J36:J135">
    <cfRule type="expression" dxfId="18" priority="7">
      <formula>J36="Worsened"</formula>
    </cfRule>
    <cfRule type="expression" dxfId="17" priority="8">
      <formula>J36="Improved"</formula>
    </cfRule>
    <cfRule type="expression" dxfId="16" priority="9">
      <formula>OR(J36="New in current",J36="Status changed")</formula>
    </cfRule>
  </conditionalFormatting>
  <conditionalFormatting sqref="M9:M30">
    <cfRule type="expression" dxfId="15" priority="2">
      <formula>AND(ISNUMBER(M9),M9&gt;0)</formula>
    </cfRule>
    <cfRule type="expression" dxfId="14" priority="3">
      <formula>AND(ISNUMBER(M9),M9&lt;0)</formula>
    </cfRule>
  </conditionalFormatting>
  <conditionalFormatting sqref="O36:O135">
    <cfRule type="expression" dxfId="13" priority="10">
      <formula>O36="Like-for-like"</formula>
    </cfRule>
    <cfRule type="expression" dxfId="12" priority="11">
      <formula>AND(O36&lt;&gt;"",O36&lt;&gt;"Like-for-like")</formula>
    </cfRule>
  </conditionalFormatting>
  <conditionalFormatting sqref="Q9:Q30">
    <cfRule type="expression" dxfId="11" priority="4">
      <formula>Q9="MISMATCH"</formula>
    </cfRule>
    <cfRule type="expression" dxfId="10" priority="5">
      <formula>Q9="Control totals missing"</formula>
    </cfRule>
    <cfRule type="expression" dxfId="9" priority="6">
      <formula>Q9="Reconciled"</formula>
    </cfRule>
  </conditionalFormatting>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BF8F00"/>
  </sheetPr>
  <dimension ref="A1:K505"/>
  <sheetViews>
    <sheetView showGridLines="0" workbookViewId="0">
      <pane ySplit="5" topLeftCell="A6" activePane="bottomLeft" state="frozen"/>
      <selection pane="bottomLeft"/>
    </sheetView>
  </sheetViews>
  <sheetFormatPr defaultColWidth="8.6328125" defaultRowHeight="14.5" x14ac:dyDescent="0.35"/>
  <cols>
    <col min="1" max="1" width="13" customWidth="1"/>
    <col min="2" max="2" width="24" customWidth="1"/>
    <col min="3" max="4" width="22" customWidth="1"/>
    <col min="5" max="6" width="18" customWidth="1"/>
    <col min="7" max="7" width="44" customWidth="1"/>
    <col min="8" max="8" width="20" customWidth="1"/>
    <col min="9" max="9" width="18" customWidth="1"/>
    <col min="10" max="10" width="14" customWidth="1"/>
    <col min="11" max="11" width="28" customWidth="1"/>
  </cols>
  <sheetData>
    <row r="1" spans="1:11" ht="20" x14ac:dyDescent="0.4">
      <c r="A1" s="2" t="s">
        <v>696</v>
      </c>
    </row>
    <row r="2" spans="1:11" x14ac:dyDescent="0.35">
      <c r="A2" s="1" t="s">
        <v>697</v>
      </c>
    </row>
    <row r="3" spans="1:11" x14ac:dyDescent="0.35">
      <c r="A3" s="49" t="s">
        <v>698</v>
      </c>
    </row>
    <row r="5" spans="1:11" ht="43.5" customHeight="1" x14ac:dyDescent="0.35">
      <c r="A5" s="16" t="s">
        <v>699</v>
      </c>
      <c r="B5" s="16" t="s">
        <v>700</v>
      </c>
      <c r="C5" s="16" t="s">
        <v>701</v>
      </c>
      <c r="D5" s="16" t="s">
        <v>702</v>
      </c>
      <c r="E5" s="16" t="s">
        <v>703</v>
      </c>
      <c r="F5" s="16" t="s">
        <v>704</v>
      </c>
      <c r="G5" s="16" t="s">
        <v>705</v>
      </c>
      <c r="H5" s="16" t="s">
        <v>706</v>
      </c>
      <c r="I5" s="16" t="s">
        <v>184</v>
      </c>
      <c r="J5" s="16" t="s">
        <v>707</v>
      </c>
      <c r="K5" s="16" t="s">
        <v>708</v>
      </c>
    </row>
    <row r="6" spans="1:11" ht="25" x14ac:dyDescent="0.35">
      <c r="A6" s="46">
        <v>46295</v>
      </c>
      <c r="B6" s="35" t="s">
        <v>709</v>
      </c>
      <c r="C6" s="35" t="s">
        <v>275</v>
      </c>
      <c r="D6" s="24" t="s">
        <v>710</v>
      </c>
      <c r="E6" s="24" t="s">
        <v>143</v>
      </c>
      <c r="F6" s="24" t="s">
        <v>139</v>
      </c>
      <c r="G6" s="24" t="s">
        <v>711</v>
      </c>
      <c r="H6" s="35" t="s">
        <v>278</v>
      </c>
      <c r="I6" s="35" t="s">
        <v>261</v>
      </c>
      <c r="J6" s="46">
        <v>46295</v>
      </c>
      <c r="K6" s="24" t="s">
        <v>712</v>
      </c>
    </row>
    <row r="7" spans="1:11" x14ac:dyDescent="0.35">
      <c r="A7" s="46">
        <v>46295</v>
      </c>
      <c r="B7" s="35" t="s">
        <v>350</v>
      </c>
      <c r="C7" s="35" t="s">
        <v>370</v>
      </c>
      <c r="D7" s="24" t="s">
        <v>357</v>
      </c>
      <c r="E7" s="24" t="s">
        <v>379</v>
      </c>
      <c r="F7" s="24" t="s">
        <v>369</v>
      </c>
      <c r="G7" s="24" t="s">
        <v>713</v>
      </c>
      <c r="H7" s="35" t="s">
        <v>273</v>
      </c>
      <c r="I7" s="35" t="s">
        <v>193</v>
      </c>
      <c r="J7" s="46">
        <v>46295</v>
      </c>
      <c r="K7" s="24" t="s">
        <v>714</v>
      </c>
    </row>
    <row r="8" spans="1:11" x14ac:dyDescent="0.35">
      <c r="A8" s="46">
        <v>46204</v>
      </c>
      <c r="B8" s="35" t="s">
        <v>715</v>
      </c>
      <c r="C8" s="35" t="s">
        <v>197</v>
      </c>
      <c r="D8" s="24" t="s">
        <v>241</v>
      </c>
      <c r="E8" s="24" t="s">
        <v>716</v>
      </c>
      <c r="F8" s="24" t="s">
        <v>717</v>
      </c>
      <c r="G8" s="24" t="s">
        <v>718</v>
      </c>
      <c r="H8" s="35" t="s">
        <v>719</v>
      </c>
      <c r="I8" s="35" t="s">
        <v>720</v>
      </c>
      <c r="J8" s="46">
        <v>46265</v>
      </c>
      <c r="K8" s="24" t="s">
        <v>721</v>
      </c>
    </row>
    <row r="9" spans="1:11" x14ac:dyDescent="0.35">
      <c r="A9" s="46"/>
      <c r="B9" s="35"/>
      <c r="C9" s="35"/>
      <c r="D9" s="24"/>
      <c r="E9" s="24"/>
      <c r="F9" s="24"/>
      <c r="G9" s="24"/>
      <c r="H9" s="35"/>
      <c r="I9" s="35"/>
      <c r="J9" s="46"/>
      <c r="K9" s="24"/>
    </row>
    <row r="10" spans="1:11" x14ac:dyDescent="0.35">
      <c r="A10" s="46"/>
      <c r="B10" s="35"/>
      <c r="C10" s="35"/>
      <c r="D10" s="24"/>
      <c r="E10" s="24"/>
      <c r="F10" s="24"/>
      <c r="G10" s="24"/>
      <c r="H10" s="35"/>
      <c r="I10" s="35"/>
      <c r="J10" s="46"/>
      <c r="K10" s="24"/>
    </row>
    <row r="11" spans="1:11" x14ac:dyDescent="0.35">
      <c r="A11" s="46"/>
      <c r="B11" s="35"/>
      <c r="C11" s="35"/>
      <c r="D11" s="24"/>
      <c r="E11" s="24"/>
      <c r="F11" s="24"/>
      <c r="G11" s="24"/>
      <c r="H11" s="35"/>
      <c r="I11" s="35"/>
      <c r="J11" s="46"/>
      <c r="K11" s="24"/>
    </row>
    <row r="12" spans="1:11" x14ac:dyDescent="0.35">
      <c r="A12" s="46"/>
      <c r="B12" s="35"/>
      <c r="C12" s="35"/>
      <c r="D12" s="24"/>
      <c r="E12" s="24"/>
      <c r="F12" s="24"/>
      <c r="G12" s="24"/>
      <c r="H12" s="35"/>
      <c r="I12" s="35"/>
      <c r="J12" s="46"/>
      <c r="K12" s="24"/>
    </row>
    <row r="13" spans="1:11" x14ac:dyDescent="0.35">
      <c r="A13" s="46"/>
      <c r="B13" s="35"/>
      <c r="C13" s="35"/>
      <c r="D13" s="24"/>
      <c r="E13" s="24"/>
      <c r="F13" s="24"/>
      <c r="G13" s="24"/>
      <c r="H13" s="35"/>
      <c r="I13" s="35"/>
      <c r="J13" s="46"/>
      <c r="K13" s="24"/>
    </row>
    <row r="14" spans="1:11" x14ac:dyDescent="0.35">
      <c r="A14" s="46"/>
      <c r="B14" s="35"/>
      <c r="C14" s="35"/>
      <c r="D14" s="24"/>
      <c r="E14" s="24"/>
      <c r="F14" s="24"/>
      <c r="G14" s="24"/>
      <c r="H14" s="35"/>
      <c r="I14" s="35"/>
      <c r="J14" s="46"/>
      <c r="K14" s="24"/>
    </row>
    <row r="15" spans="1:11" x14ac:dyDescent="0.35">
      <c r="A15" s="46"/>
      <c r="B15" s="35"/>
      <c r="C15" s="35"/>
      <c r="D15" s="24"/>
      <c r="E15" s="24"/>
      <c r="F15" s="24"/>
      <c r="G15" s="24"/>
      <c r="H15" s="35"/>
      <c r="I15" s="35"/>
      <c r="J15" s="46"/>
      <c r="K15" s="24"/>
    </row>
    <row r="16" spans="1:11" x14ac:dyDescent="0.35">
      <c r="A16" s="46"/>
      <c r="B16" s="35"/>
      <c r="C16" s="35"/>
      <c r="D16" s="24"/>
      <c r="E16" s="24"/>
      <c r="F16" s="24"/>
      <c r="G16" s="24"/>
      <c r="H16" s="35"/>
      <c r="I16" s="35"/>
      <c r="J16" s="46"/>
      <c r="K16" s="24"/>
    </row>
    <row r="17" spans="1:11" x14ac:dyDescent="0.35">
      <c r="A17" s="46"/>
      <c r="B17" s="35"/>
      <c r="C17" s="35"/>
      <c r="D17" s="24"/>
      <c r="E17" s="24"/>
      <c r="F17" s="24"/>
      <c r="G17" s="24"/>
      <c r="H17" s="35"/>
      <c r="I17" s="35"/>
      <c r="J17" s="46"/>
      <c r="K17" s="24"/>
    </row>
    <row r="18" spans="1:11" x14ac:dyDescent="0.35">
      <c r="A18" s="46"/>
      <c r="B18" s="35"/>
      <c r="C18" s="35"/>
      <c r="D18" s="24"/>
      <c r="E18" s="24"/>
      <c r="F18" s="24"/>
      <c r="G18" s="24"/>
      <c r="H18" s="35"/>
      <c r="I18" s="35"/>
      <c r="J18" s="46"/>
      <c r="K18" s="24"/>
    </row>
    <row r="19" spans="1:11" x14ac:dyDescent="0.35">
      <c r="A19" s="46"/>
      <c r="B19" s="35"/>
      <c r="C19" s="35"/>
      <c r="D19" s="24"/>
      <c r="E19" s="24"/>
      <c r="F19" s="24"/>
      <c r="G19" s="24"/>
      <c r="H19" s="35"/>
      <c r="I19" s="35"/>
      <c r="J19" s="46"/>
      <c r="K19" s="24"/>
    </row>
    <row r="20" spans="1:11" x14ac:dyDescent="0.35">
      <c r="A20" s="46"/>
      <c r="B20" s="35"/>
      <c r="C20" s="35"/>
      <c r="D20" s="24"/>
      <c r="E20" s="24"/>
      <c r="F20" s="24"/>
      <c r="G20" s="24"/>
      <c r="H20" s="35"/>
      <c r="I20" s="35"/>
      <c r="J20" s="46"/>
      <c r="K20" s="24"/>
    </row>
    <row r="21" spans="1:11" x14ac:dyDescent="0.35">
      <c r="A21" s="46"/>
      <c r="B21" s="35"/>
      <c r="C21" s="35"/>
      <c r="D21" s="24"/>
      <c r="E21" s="24"/>
      <c r="F21" s="24"/>
      <c r="G21" s="24"/>
      <c r="H21" s="35"/>
      <c r="I21" s="35"/>
      <c r="J21" s="46"/>
      <c r="K21" s="24"/>
    </row>
    <row r="22" spans="1:11" x14ac:dyDescent="0.35">
      <c r="A22" s="46"/>
      <c r="B22" s="35"/>
      <c r="C22" s="35"/>
      <c r="D22" s="24"/>
      <c r="E22" s="24"/>
      <c r="F22" s="24"/>
      <c r="G22" s="24"/>
      <c r="H22" s="35"/>
      <c r="I22" s="35"/>
      <c r="J22" s="46"/>
      <c r="K22" s="24"/>
    </row>
    <row r="23" spans="1:11" x14ac:dyDescent="0.35">
      <c r="A23" s="46"/>
      <c r="B23" s="35"/>
      <c r="C23" s="35"/>
      <c r="D23" s="24"/>
      <c r="E23" s="24"/>
      <c r="F23" s="24"/>
      <c r="G23" s="24"/>
      <c r="H23" s="35"/>
      <c r="I23" s="35"/>
      <c r="J23" s="46"/>
      <c r="K23" s="24"/>
    </row>
    <row r="24" spans="1:11" x14ac:dyDescent="0.35">
      <c r="A24" s="46"/>
      <c r="B24" s="35"/>
      <c r="C24" s="35"/>
      <c r="D24" s="24"/>
      <c r="E24" s="24"/>
      <c r="F24" s="24"/>
      <c r="G24" s="24"/>
      <c r="H24" s="35"/>
      <c r="I24" s="35"/>
      <c r="J24" s="46"/>
      <c r="K24" s="24"/>
    </row>
    <row r="25" spans="1:11" x14ac:dyDescent="0.35">
      <c r="A25" s="46"/>
      <c r="B25" s="35"/>
      <c r="C25" s="35"/>
      <c r="D25" s="24"/>
      <c r="E25" s="24"/>
      <c r="F25" s="24"/>
      <c r="G25" s="24"/>
      <c r="H25" s="35"/>
      <c r="I25" s="35"/>
      <c r="J25" s="46"/>
      <c r="K25" s="24"/>
    </row>
    <row r="26" spans="1:11" x14ac:dyDescent="0.35">
      <c r="A26" s="46"/>
      <c r="B26" s="35"/>
      <c r="C26" s="35"/>
      <c r="D26" s="24"/>
      <c r="E26" s="24"/>
      <c r="F26" s="24"/>
      <c r="G26" s="24"/>
      <c r="H26" s="35"/>
      <c r="I26" s="35"/>
      <c r="J26" s="46"/>
      <c r="K26" s="24"/>
    </row>
    <row r="27" spans="1:11" x14ac:dyDescent="0.35">
      <c r="A27" s="46"/>
      <c r="B27" s="35"/>
      <c r="C27" s="35"/>
      <c r="D27" s="24"/>
      <c r="E27" s="24"/>
      <c r="F27" s="24"/>
      <c r="G27" s="24"/>
      <c r="H27" s="35"/>
      <c r="I27" s="35"/>
      <c r="J27" s="46"/>
      <c r="K27" s="24"/>
    </row>
    <row r="28" spans="1:11" x14ac:dyDescent="0.35">
      <c r="A28" s="46"/>
      <c r="B28" s="35"/>
      <c r="C28" s="35"/>
      <c r="D28" s="24"/>
      <c r="E28" s="24"/>
      <c r="F28" s="24"/>
      <c r="G28" s="24"/>
      <c r="H28" s="35"/>
      <c r="I28" s="35"/>
      <c r="J28" s="46"/>
      <c r="K28" s="24"/>
    </row>
    <row r="29" spans="1:11" x14ac:dyDescent="0.35">
      <c r="A29" s="46"/>
      <c r="B29" s="35"/>
      <c r="C29" s="35"/>
      <c r="D29" s="24"/>
      <c r="E29" s="24"/>
      <c r="F29" s="24"/>
      <c r="G29" s="24"/>
      <c r="H29" s="35"/>
      <c r="I29" s="35"/>
      <c r="J29" s="46"/>
      <c r="K29" s="24"/>
    </row>
    <row r="30" spans="1:11" x14ac:dyDescent="0.35">
      <c r="A30" s="46"/>
      <c r="B30" s="35"/>
      <c r="C30" s="35"/>
      <c r="D30" s="24"/>
      <c r="E30" s="24"/>
      <c r="F30" s="24"/>
      <c r="G30" s="24"/>
      <c r="H30" s="35"/>
      <c r="I30" s="35"/>
      <c r="J30" s="46"/>
      <c r="K30" s="24"/>
    </row>
    <row r="31" spans="1:11" x14ac:dyDescent="0.35">
      <c r="A31" s="46"/>
      <c r="B31" s="35"/>
      <c r="C31" s="35"/>
      <c r="D31" s="24"/>
      <c r="E31" s="24"/>
      <c r="F31" s="24"/>
      <c r="G31" s="24"/>
      <c r="H31" s="35"/>
      <c r="I31" s="35"/>
      <c r="J31" s="46"/>
      <c r="K31" s="24"/>
    </row>
    <row r="32" spans="1:11" x14ac:dyDescent="0.35">
      <c r="A32" s="46"/>
      <c r="B32" s="35"/>
      <c r="C32" s="35"/>
      <c r="D32" s="24"/>
      <c r="E32" s="24"/>
      <c r="F32" s="24"/>
      <c r="G32" s="24"/>
      <c r="H32" s="35"/>
      <c r="I32" s="35"/>
      <c r="J32" s="46"/>
      <c r="K32" s="24"/>
    </row>
    <row r="33" spans="1:11" x14ac:dyDescent="0.35">
      <c r="A33" s="46"/>
      <c r="B33" s="35"/>
      <c r="C33" s="35"/>
      <c r="D33" s="24"/>
      <c r="E33" s="24"/>
      <c r="F33" s="24"/>
      <c r="G33" s="24"/>
      <c r="H33" s="35"/>
      <c r="I33" s="35"/>
      <c r="J33" s="46"/>
      <c r="K33" s="24"/>
    </row>
    <row r="34" spans="1:11" x14ac:dyDescent="0.35">
      <c r="A34" s="46"/>
      <c r="B34" s="35"/>
      <c r="C34" s="35"/>
      <c r="D34" s="24"/>
      <c r="E34" s="24"/>
      <c r="F34" s="24"/>
      <c r="G34" s="24"/>
      <c r="H34" s="35"/>
      <c r="I34" s="35"/>
      <c r="J34" s="46"/>
      <c r="K34" s="24"/>
    </row>
    <row r="35" spans="1:11" x14ac:dyDescent="0.35">
      <c r="A35" s="46"/>
      <c r="B35" s="35"/>
      <c r="C35" s="35"/>
      <c r="D35" s="24"/>
      <c r="E35" s="24"/>
      <c r="F35" s="24"/>
      <c r="G35" s="24"/>
      <c r="H35" s="35"/>
      <c r="I35" s="35"/>
      <c r="J35" s="46"/>
      <c r="K35" s="24"/>
    </row>
    <row r="36" spans="1:11" x14ac:dyDescent="0.35">
      <c r="A36" s="46"/>
      <c r="B36" s="35"/>
      <c r="C36" s="35"/>
      <c r="D36" s="24"/>
      <c r="E36" s="24"/>
      <c r="F36" s="24"/>
      <c r="G36" s="24"/>
      <c r="H36" s="35"/>
      <c r="I36" s="35"/>
      <c r="J36" s="46"/>
      <c r="K36" s="24"/>
    </row>
    <row r="37" spans="1:11" x14ac:dyDescent="0.35">
      <c r="A37" s="46"/>
      <c r="B37" s="35"/>
      <c r="C37" s="35"/>
      <c r="D37" s="24"/>
      <c r="E37" s="24"/>
      <c r="F37" s="24"/>
      <c r="G37" s="24"/>
      <c r="H37" s="35"/>
      <c r="I37" s="35"/>
      <c r="J37" s="46"/>
      <c r="K37" s="24"/>
    </row>
    <row r="38" spans="1:11" x14ac:dyDescent="0.35">
      <c r="A38" s="46"/>
      <c r="B38" s="35"/>
      <c r="C38" s="35"/>
      <c r="D38" s="24"/>
      <c r="E38" s="24"/>
      <c r="F38" s="24"/>
      <c r="G38" s="24"/>
      <c r="H38" s="35"/>
      <c r="I38" s="35"/>
      <c r="J38" s="46"/>
      <c r="K38" s="24"/>
    </row>
    <row r="39" spans="1:11" x14ac:dyDescent="0.35">
      <c r="A39" s="46"/>
      <c r="B39" s="35"/>
      <c r="C39" s="35"/>
      <c r="D39" s="24"/>
      <c r="E39" s="24"/>
      <c r="F39" s="24"/>
      <c r="G39" s="24"/>
      <c r="H39" s="35"/>
      <c r="I39" s="35"/>
      <c r="J39" s="46"/>
      <c r="K39" s="24"/>
    </row>
    <row r="40" spans="1:11" x14ac:dyDescent="0.35">
      <c r="A40" s="46"/>
      <c r="B40" s="35"/>
      <c r="C40" s="35"/>
      <c r="D40" s="24"/>
      <c r="E40" s="24"/>
      <c r="F40" s="24"/>
      <c r="G40" s="24"/>
      <c r="H40" s="35"/>
      <c r="I40" s="35"/>
      <c r="J40" s="46"/>
      <c r="K40" s="24"/>
    </row>
    <row r="41" spans="1:11" x14ac:dyDescent="0.35">
      <c r="A41" s="46"/>
      <c r="B41" s="35"/>
      <c r="C41" s="35"/>
      <c r="D41" s="24"/>
      <c r="E41" s="24"/>
      <c r="F41" s="24"/>
      <c r="G41" s="24"/>
      <c r="H41" s="35"/>
      <c r="I41" s="35"/>
      <c r="J41" s="46"/>
      <c r="K41" s="24"/>
    </row>
    <row r="42" spans="1:11" x14ac:dyDescent="0.35">
      <c r="A42" s="46"/>
      <c r="B42" s="35"/>
      <c r="C42" s="35"/>
      <c r="D42" s="24"/>
      <c r="E42" s="24"/>
      <c r="F42" s="24"/>
      <c r="G42" s="24"/>
      <c r="H42" s="35"/>
      <c r="I42" s="35"/>
      <c r="J42" s="46"/>
      <c r="K42" s="24"/>
    </row>
    <row r="43" spans="1:11" x14ac:dyDescent="0.35">
      <c r="A43" s="46"/>
      <c r="B43" s="35"/>
      <c r="C43" s="35"/>
      <c r="D43" s="24"/>
      <c r="E43" s="24"/>
      <c r="F43" s="24"/>
      <c r="G43" s="24"/>
      <c r="H43" s="35"/>
      <c r="I43" s="35"/>
      <c r="J43" s="46"/>
      <c r="K43" s="24"/>
    </row>
    <row r="44" spans="1:11" x14ac:dyDescent="0.35">
      <c r="A44" s="46"/>
      <c r="B44" s="35"/>
      <c r="C44" s="35"/>
      <c r="D44" s="24"/>
      <c r="E44" s="24"/>
      <c r="F44" s="24"/>
      <c r="G44" s="24"/>
      <c r="H44" s="35"/>
      <c r="I44" s="35"/>
      <c r="J44" s="46"/>
      <c r="K44" s="24"/>
    </row>
    <row r="45" spans="1:11" x14ac:dyDescent="0.35">
      <c r="A45" s="46"/>
      <c r="B45" s="35"/>
      <c r="C45" s="35"/>
      <c r="D45" s="24"/>
      <c r="E45" s="24"/>
      <c r="F45" s="24"/>
      <c r="G45" s="24"/>
      <c r="H45" s="35"/>
      <c r="I45" s="35"/>
      <c r="J45" s="46"/>
      <c r="K45" s="24"/>
    </row>
    <row r="46" spans="1:11" x14ac:dyDescent="0.35">
      <c r="A46" s="46"/>
      <c r="B46" s="35"/>
      <c r="C46" s="35"/>
      <c r="D46" s="24"/>
      <c r="E46" s="24"/>
      <c r="F46" s="24"/>
      <c r="G46" s="24"/>
      <c r="H46" s="35"/>
      <c r="I46" s="35"/>
      <c r="J46" s="46"/>
      <c r="K46" s="24"/>
    </row>
    <row r="47" spans="1:11" x14ac:dyDescent="0.35">
      <c r="A47" s="46"/>
      <c r="B47" s="35"/>
      <c r="C47" s="35"/>
      <c r="D47" s="24"/>
      <c r="E47" s="24"/>
      <c r="F47" s="24"/>
      <c r="G47" s="24"/>
      <c r="H47" s="35"/>
      <c r="I47" s="35"/>
      <c r="J47" s="46"/>
      <c r="K47" s="24"/>
    </row>
    <row r="48" spans="1:11" x14ac:dyDescent="0.35">
      <c r="A48" s="46"/>
      <c r="B48" s="35"/>
      <c r="C48" s="35"/>
      <c r="D48" s="24"/>
      <c r="E48" s="24"/>
      <c r="F48" s="24"/>
      <c r="G48" s="24"/>
      <c r="H48" s="35"/>
      <c r="I48" s="35"/>
      <c r="J48" s="46"/>
      <c r="K48" s="24"/>
    </row>
    <row r="49" spans="1:11" x14ac:dyDescent="0.35">
      <c r="A49" s="46"/>
      <c r="B49" s="35"/>
      <c r="C49" s="35"/>
      <c r="D49" s="24"/>
      <c r="E49" s="24"/>
      <c r="F49" s="24"/>
      <c r="G49" s="24"/>
      <c r="H49" s="35"/>
      <c r="I49" s="35"/>
      <c r="J49" s="46"/>
      <c r="K49" s="24"/>
    </row>
    <row r="50" spans="1:11" x14ac:dyDescent="0.35">
      <c r="A50" s="46"/>
      <c r="B50" s="35"/>
      <c r="C50" s="35"/>
      <c r="D50" s="24"/>
      <c r="E50" s="24"/>
      <c r="F50" s="24"/>
      <c r="G50" s="24"/>
      <c r="H50" s="35"/>
      <c r="I50" s="35"/>
      <c r="J50" s="46"/>
      <c r="K50" s="24"/>
    </row>
    <row r="51" spans="1:11" x14ac:dyDescent="0.35">
      <c r="A51" s="46"/>
      <c r="B51" s="35"/>
      <c r="C51" s="35"/>
      <c r="D51" s="24"/>
      <c r="E51" s="24"/>
      <c r="F51" s="24"/>
      <c r="G51" s="24"/>
      <c r="H51" s="35"/>
      <c r="I51" s="35"/>
      <c r="J51" s="46"/>
      <c r="K51" s="24"/>
    </row>
    <row r="52" spans="1:11" x14ac:dyDescent="0.35">
      <c r="A52" s="46"/>
      <c r="B52" s="35"/>
      <c r="C52" s="35"/>
      <c r="D52" s="24"/>
      <c r="E52" s="24"/>
      <c r="F52" s="24"/>
      <c r="G52" s="24"/>
      <c r="H52" s="35"/>
      <c r="I52" s="35"/>
      <c r="J52" s="46"/>
      <c r="K52" s="24"/>
    </row>
    <row r="53" spans="1:11" x14ac:dyDescent="0.35">
      <c r="A53" s="46"/>
      <c r="B53" s="35"/>
      <c r="C53" s="35"/>
      <c r="D53" s="24"/>
      <c r="E53" s="24"/>
      <c r="F53" s="24"/>
      <c r="G53" s="24"/>
      <c r="H53" s="35"/>
      <c r="I53" s="35"/>
      <c r="J53" s="46"/>
      <c r="K53" s="24"/>
    </row>
    <row r="54" spans="1:11" x14ac:dyDescent="0.35">
      <c r="A54" s="46"/>
      <c r="B54" s="35"/>
      <c r="C54" s="35"/>
      <c r="D54" s="24"/>
      <c r="E54" s="24"/>
      <c r="F54" s="24"/>
      <c r="G54" s="24"/>
      <c r="H54" s="35"/>
      <c r="I54" s="35"/>
      <c r="J54" s="46"/>
      <c r="K54" s="24"/>
    </row>
    <row r="55" spans="1:11" x14ac:dyDescent="0.35">
      <c r="A55" s="46"/>
      <c r="B55" s="35"/>
      <c r="C55" s="35"/>
      <c r="D55" s="24"/>
      <c r="E55" s="24"/>
      <c r="F55" s="24"/>
      <c r="G55" s="24"/>
      <c r="H55" s="35"/>
      <c r="I55" s="35"/>
      <c r="J55" s="46"/>
      <c r="K55" s="24"/>
    </row>
    <row r="56" spans="1:11" x14ac:dyDescent="0.35">
      <c r="A56" s="46"/>
      <c r="B56" s="35"/>
      <c r="C56" s="35"/>
      <c r="D56" s="24"/>
      <c r="E56" s="24"/>
      <c r="F56" s="24"/>
      <c r="G56" s="24"/>
      <c r="H56" s="35"/>
      <c r="I56" s="35"/>
      <c r="J56" s="46"/>
      <c r="K56" s="24"/>
    </row>
    <row r="57" spans="1:11" x14ac:dyDescent="0.35">
      <c r="A57" s="46"/>
      <c r="B57" s="35"/>
      <c r="C57" s="35"/>
      <c r="D57" s="24"/>
      <c r="E57" s="24"/>
      <c r="F57" s="24"/>
      <c r="G57" s="24"/>
      <c r="H57" s="35"/>
      <c r="I57" s="35"/>
      <c r="J57" s="46"/>
      <c r="K57" s="24"/>
    </row>
    <row r="58" spans="1:11" x14ac:dyDescent="0.35">
      <c r="A58" s="46"/>
      <c r="B58" s="35"/>
      <c r="C58" s="35"/>
      <c r="D58" s="24"/>
      <c r="E58" s="24"/>
      <c r="F58" s="24"/>
      <c r="G58" s="24"/>
      <c r="H58" s="35"/>
      <c r="I58" s="35"/>
      <c r="J58" s="46"/>
      <c r="K58" s="24"/>
    </row>
    <row r="59" spans="1:11" x14ac:dyDescent="0.35">
      <c r="A59" s="46"/>
      <c r="B59" s="35"/>
      <c r="C59" s="35"/>
      <c r="D59" s="24"/>
      <c r="E59" s="24"/>
      <c r="F59" s="24"/>
      <c r="G59" s="24"/>
      <c r="H59" s="35"/>
      <c r="I59" s="35"/>
      <c r="J59" s="46"/>
      <c r="K59" s="24"/>
    </row>
    <row r="60" spans="1:11" x14ac:dyDescent="0.35">
      <c r="A60" s="46"/>
      <c r="B60" s="35"/>
      <c r="C60" s="35"/>
      <c r="D60" s="24"/>
      <c r="E60" s="24"/>
      <c r="F60" s="24"/>
      <c r="G60" s="24"/>
      <c r="H60" s="35"/>
      <c r="I60" s="35"/>
      <c r="J60" s="46"/>
      <c r="K60" s="24"/>
    </row>
    <row r="61" spans="1:11" x14ac:dyDescent="0.35">
      <c r="A61" s="46"/>
      <c r="B61" s="35"/>
      <c r="C61" s="35"/>
      <c r="D61" s="24"/>
      <c r="E61" s="24"/>
      <c r="F61" s="24"/>
      <c r="G61" s="24"/>
      <c r="H61" s="35"/>
      <c r="I61" s="35"/>
      <c r="J61" s="46"/>
      <c r="K61" s="24"/>
    </row>
    <row r="62" spans="1:11" x14ac:dyDescent="0.35">
      <c r="A62" s="46"/>
      <c r="B62" s="35"/>
      <c r="C62" s="35"/>
      <c r="D62" s="24"/>
      <c r="E62" s="24"/>
      <c r="F62" s="24"/>
      <c r="G62" s="24"/>
      <c r="H62" s="35"/>
      <c r="I62" s="35"/>
      <c r="J62" s="46"/>
      <c r="K62" s="24"/>
    </row>
    <row r="63" spans="1:11" x14ac:dyDescent="0.35">
      <c r="A63" s="46"/>
      <c r="B63" s="35"/>
      <c r="C63" s="35"/>
      <c r="D63" s="24"/>
      <c r="E63" s="24"/>
      <c r="F63" s="24"/>
      <c r="G63" s="24"/>
      <c r="H63" s="35"/>
      <c r="I63" s="35"/>
      <c r="J63" s="46"/>
      <c r="K63" s="24"/>
    </row>
    <row r="64" spans="1:11" x14ac:dyDescent="0.35">
      <c r="A64" s="46"/>
      <c r="B64" s="35"/>
      <c r="C64" s="35"/>
      <c r="D64" s="24"/>
      <c r="E64" s="24"/>
      <c r="F64" s="24"/>
      <c r="G64" s="24"/>
      <c r="H64" s="35"/>
      <c r="I64" s="35"/>
      <c r="J64" s="46"/>
      <c r="K64" s="24"/>
    </row>
    <row r="65" spans="1:11" x14ac:dyDescent="0.35">
      <c r="A65" s="46"/>
      <c r="B65" s="35"/>
      <c r="C65" s="35"/>
      <c r="D65" s="24"/>
      <c r="E65" s="24"/>
      <c r="F65" s="24"/>
      <c r="G65" s="24"/>
      <c r="H65" s="35"/>
      <c r="I65" s="35"/>
      <c r="J65" s="46"/>
      <c r="K65" s="24"/>
    </row>
    <row r="66" spans="1:11" x14ac:dyDescent="0.35">
      <c r="A66" s="46"/>
      <c r="B66" s="35"/>
      <c r="C66" s="35"/>
      <c r="D66" s="24"/>
      <c r="E66" s="24"/>
      <c r="F66" s="24"/>
      <c r="G66" s="24"/>
      <c r="H66" s="35"/>
      <c r="I66" s="35"/>
      <c r="J66" s="46"/>
      <c r="K66" s="24"/>
    </row>
    <row r="67" spans="1:11" x14ac:dyDescent="0.35">
      <c r="A67" s="46"/>
      <c r="B67" s="35"/>
      <c r="C67" s="35"/>
      <c r="D67" s="24"/>
      <c r="E67" s="24"/>
      <c r="F67" s="24"/>
      <c r="G67" s="24"/>
      <c r="H67" s="35"/>
      <c r="I67" s="35"/>
      <c r="J67" s="46"/>
      <c r="K67" s="24"/>
    </row>
    <row r="68" spans="1:11" x14ac:dyDescent="0.35">
      <c r="A68" s="46"/>
      <c r="B68" s="35"/>
      <c r="C68" s="35"/>
      <c r="D68" s="24"/>
      <c r="E68" s="24"/>
      <c r="F68" s="24"/>
      <c r="G68" s="24"/>
      <c r="H68" s="35"/>
      <c r="I68" s="35"/>
      <c r="J68" s="46"/>
      <c r="K68" s="24"/>
    </row>
    <row r="69" spans="1:11" x14ac:dyDescent="0.35">
      <c r="A69" s="46"/>
      <c r="B69" s="35"/>
      <c r="C69" s="35"/>
      <c r="D69" s="24"/>
      <c r="E69" s="24"/>
      <c r="F69" s="24"/>
      <c r="G69" s="24"/>
      <c r="H69" s="35"/>
      <c r="I69" s="35"/>
      <c r="J69" s="46"/>
      <c r="K69" s="24"/>
    </row>
    <row r="70" spans="1:11" x14ac:dyDescent="0.35">
      <c r="A70" s="46"/>
      <c r="B70" s="35"/>
      <c r="C70" s="35"/>
      <c r="D70" s="24"/>
      <c r="E70" s="24"/>
      <c r="F70" s="24"/>
      <c r="G70" s="24"/>
      <c r="H70" s="35"/>
      <c r="I70" s="35"/>
      <c r="J70" s="46"/>
      <c r="K70" s="24"/>
    </row>
    <row r="71" spans="1:11" x14ac:dyDescent="0.35">
      <c r="A71" s="46"/>
      <c r="B71" s="35"/>
      <c r="C71" s="35"/>
      <c r="D71" s="24"/>
      <c r="E71" s="24"/>
      <c r="F71" s="24"/>
      <c r="G71" s="24"/>
      <c r="H71" s="35"/>
      <c r="I71" s="35"/>
      <c r="J71" s="46"/>
      <c r="K71" s="24"/>
    </row>
    <row r="72" spans="1:11" x14ac:dyDescent="0.35">
      <c r="A72" s="46"/>
      <c r="B72" s="35"/>
      <c r="C72" s="35"/>
      <c r="D72" s="24"/>
      <c r="E72" s="24"/>
      <c r="F72" s="24"/>
      <c r="G72" s="24"/>
      <c r="H72" s="35"/>
      <c r="I72" s="35"/>
      <c r="J72" s="46"/>
      <c r="K72" s="24"/>
    </row>
    <row r="73" spans="1:11" x14ac:dyDescent="0.35">
      <c r="A73" s="46"/>
      <c r="B73" s="35"/>
      <c r="C73" s="35"/>
      <c r="D73" s="24"/>
      <c r="E73" s="24"/>
      <c r="F73" s="24"/>
      <c r="G73" s="24"/>
      <c r="H73" s="35"/>
      <c r="I73" s="35"/>
      <c r="J73" s="46"/>
      <c r="K73" s="24"/>
    </row>
    <row r="74" spans="1:11" x14ac:dyDescent="0.35">
      <c r="A74" s="46"/>
      <c r="B74" s="35"/>
      <c r="C74" s="35"/>
      <c r="D74" s="24"/>
      <c r="E74" s="24"/>
      <c r="F74" s="24"/>
      <c r="G74" s="24"/>
      <c r="H74" s="35"/>
      <c r="I74" s="35"/>
      <c r="J74" s="46"/>
      <c r="K74" s="24"/>
    </row>
    <row r="75" spans="1:11" x14ac:dyDescent="0.35">
      <c r="A75" s="46"/>
      <c r="B75" s="35"/>
      <c r="C75" s="35"/>
      <c r="D75" s="24"/>
      <c r="E75" s="24"/>
      <c r="F75" s="24"/>
      <c r="G75" s="24"/>
      <c r="H75" s="35"/>
      <c r="I75" s="35"/>
      <c r="J75" s="46"/>
      <c r="K75" s="24"/>
    </row>
    <row r="76" spans="1:11" x14ac:dyDescent="0.35">
      <c r="A76" s="46"/>
      <c r="B76" s="35"/>
      <c r="C76" s="35"/>
      <c r="D76" s="24"/>
      <c r="E76" s="24"/>
      <c r="F76" s="24"/>
      <c r="G76" s="24"/>
      <c r="H76" s="35"/>
      <c r="I76" s="35"/>
      <c r="J76" s="46"/>
      <c r="K76" s="24"/>
    </row>
    <row r="77" spans="1:11" x14ac:dyDescent="0.35">
      <c r="A77" s="46"/>
      <c r="B77" s="35"/>
      <c r="C77" s="35"/>
      <c r="D77" s="24"/>
      <c r="E77" s="24"/>
      <c r="F77" s="24"/>
      <c r="G77" s="24"/>
      <c r="H77" s="35"/>
      <c r="I77" s="35"/>
      <c r="J77" s="46"/>
      <c r="K77" s="24"/>
    </row>
    <row r="78" spans="1:11" x14ac:dyDescent="0.35">
      <c r="A78" s="46"/>
      <c r="B78" s="35"/>
      <c r="C78" s="35"/>
      <c r="D78" s="24"/>
      <c r="E78" s="24"/>
      <c r="F78" s="24"/>
      <c r="G78" s="24"/>
      <c r="H78" s="35"/>
      <c r="I78" s="35"/>
      <c r="J78" s="46"/>
      <c r="K78" s="24"/>
    </row>
    <row r="79" spans="1:11" x14ac:dyDescent="0.35">
      <c r="A79" s="46"/>
      <c r="B79" s="35"/>
      <c r="C79" s="35"/>
      <c r="D79" s="24"/>
      <c r="E79" s="24"/>
      <c r="F79" s="24"/>
      <c r="G79" s="24"/>
      <c r="H79" s="35"/>
      <c r="I79" s="35"/>
      <c r="J79" s="46"/>
      <c r="K79" s="24"/>
    </row>
    <row r="80" spans="1:11" x14ac:dyDescent="0.35">
      <c r="A80" s="46"/>
      <c r="B80" s="35"/>
      <c r="C80" s="35"/>
      <c r="D80" s="24"/>
      <c r="E80" s="24"/>
      <c r="F80" s="24"/>
      <c r="G80" s="24"/>
      <c r="H80" s="35"/>
      <c r="I80" s="35"/>
      <c r="J80" s="46"/>
      <c r="K80" s="24"/>
    </row>
    <row r="81" spans="1:11" x14ac:dyDescent="0.35">
      <c r="A81" s="46"/>
      <c r="B81" s="35"/>
      <c r="C81" s="35"/>
      <c r="D81" s="24"/>
      <c r="E81" s="24"/>
      <c r="F81" s="24"/>
      <c r="G81" s="24"/>
      <c r="H81" s="35"/>
      <c r="I81" s="35"/>
      <c r="J81" s="46"/>
      <c r="K81" s="24"/>
    </row>
    <row r="82" spans="1:11" x14ac:dyDescent="0.35">
      <c r="A82" s="46"/>
      <c r="B82" s="35"/>
      <c r="C82" s="35"/>
      <c r="D82" s="24"/>
      <c r="E82" s="24"/>
      <c r="F82" s="24"/>
      <c r="G82" s="24"/>
      <c r="H82" s="35"/>
      <c r="I82" s="35"/>
      <c r="J82" s="46"/>
      <c r="K82" s="24"/>
    </row>
    <row r="83" spans="1:11" x14ac:dyDescent="0.35">
      <c r="A83" s="46"/>
      <c r="B83" s="35"/>
      <c r="C83" s="35"/>
      <c r="D83" s="24"/>
      <c r="E83" s="24"/>
      <c r="F83" s="24"/>
      <c r="G83" s="24"/>
      <c r="H83" s="35"/>
      <c r="I83" s="35"/>
      <c r="J83" s="46"/>
      <c r="K83" s="24"/>
    </row>
    <row r="84" spans="1:11" x14ac:dyDescent="0.35">
      <c r="A84" s="46"/>
      <c r="B84" s="35"/>
      <c r="C84" s="35"/>
      <c r="D84" s="24"/>
      <c r="E84" s="24"/>
      <c r="F84" s="24"/>
      <c r="G84" s="24"/>
      <c r="H84" s="35"/>
      <c r="I84" s="35"/>
      <c r="J84" s="46"/>
      <c r="K84" s="24"/>
    </row>
    <row r="85" spans="1:11" x14ac:dyDescent="0.35">
      <c r="A85" s="46"/>
      <c r="B85" s="35"/>
      <c r="C85" s="35"/>
      <c r="D85" s="24"/>
      <c r="E85" s="24"/>
      <c r="F85" s="24"/>
      <c r="G85" s="24"/>
      <c r="H85" s="35"/>
      <c r="I85" s="35"/>
      <c r="J85" s="46"/>
      <c r="K85" s="24"/>
    </row>
    <row r="86" spans="1:11" x14ac:dyDescent="0.35">
      <c r="A86" s="46"/>
      <c r="B86" s="35"/>
      <c r="C86" s="35"/>
      <c r="D86" s="24"/>
      <c r="E86" s="24"/>
      <c r="F86" s="24"/>
      <c r="G86" s="24"/>
      <c r="H86" s="35"/>
      <c r="I86" s="35"/>
      <c r="J86" s="46"/>
      <c r="K86" s="24"/>
    </row>
    <row r="87" spans="1:11" x14ac:dyDescent="0.35">
      <c r="A87" s="46"/>
      <c r="B87" s="35"/>
      <c r="C87" s="35"/>
      <c r="D87" s="24"/>
      <c r="E87" s="24"/>
      <c r="F87" s="24"/>
      <c r="G87" s="24"/>
      <c r="H87" s="35"/>
      <c r="I87" s="35"/>
      <c r="J87" s="46"/>
      <c r="K87" s="24"/>
    </row>
    <row r="88" spans="1:11" x14ac:dyDescent="0.35">
      <c r="A88" s="46"/>
      <c r="B88" s="35"/>
      <c r="C88" s="35"/>
      <c r="D88" s="24"/>
      <c r="E88" s="24"/>
      <c r="F88" s="24"/>
      <c r="G88" s="24"/>
      <c r="H88" s="35"/>
      <c r="I88" s="35"/>
      <c r="J88" s="46"/>
      <c r="K88" s="24"/>
    </row>
    <row r="89" spans="1:11" x14ac:dyDescent="0.35">
      <c r="A89" s="46"/>
      <c r="B89" s="35"/>
      <c r="C89" s="35"/>
      <c r="D89" s="24"/>
      <c r="E89" s="24"/>
      <c r="F89" s="24"/>
      <c r="G89" s="24"/>
      <c r="H89" s="35"/>
      <c r="I89" s="35"/>
      <c r="J89" s="46"/>
      <c r="K89" s="24"/>
    </row>
    <row r="90" spans="1:11" x14ac:dyDescent="0.35">
      <c r="A90" s="46"/>
      <c r="B90" s="35"/>
      <c r="C90" s="35"/>
      <c r="D90" s="24"/>
      <c r="E90" s="24"/>
      <c r="F90" s="24"/>
      <c r="G90" s="24"/>
      <c r="H90" s="35"/>
      <c r="I90" s="35"/>
      <c r="J90" s="46"/>
      <c r="K90" s="24"/>
    </row>
    <row r="91" spans="1:11" x14ac:dyDescent="0.35">
      <c r="A91" s="46"/>
      <c r="B91" s="35"/>
      <c r="C91" s="35"/>
      <c r="D91" s="24"/>
      <c r="E91" s="24"/>
      <c r="F91" s="24"/>
      <c r="G91" s="24"/>
      <c r="H91" s="35"/>
      <c r="I91" s="35"/>
      <c r="J91" s="46"/>
      <c r="K91" s="24"/>
    </row>
    <row r="92" spans="1:11" x14ac:dyDescent="0.35">
      <c r="A92" s="46"/>
      <c r="B92" s="35"/>
      <c r="C92" s="35"/>
      <c r="D92" s="24"/>
      <c r="E92" s="24"/>
      <c r="F92" s="24"/>
      <c r="G92" s="24"/>
      <c r="H92" s="35"/>
      <c r="I92" s="35"/>
      <c r="J92" s="46"/>
      <c r="K92" s="24"/>
    </row>
    <row r="93" spans="1:11" x14ac:dyDescent="0.35">
      <c r="A93" s="46"/>
      <c r="B93" s="35"/>
      <c r="C93" s="35"/>
      <c r="D93" s="24"/>
      <c r="E93" s="24"/>
      <c r="F93" s="24"/>
      <c r="G93" s="24"/>
      <c r="H93" s="35"/>
      <c r="I93" s="35"/>
      <c r="J93" s="46"/>
      <c r="K93" s="24"/>
    </row>
    <row r="94" spans="1:11" x14ac:dyDescent="0.35">
      <c r="A94" s="46"/>
      <c r="B94" s="35"/>
      <c r="C94" s="35"/>
      <c r="D94" s="24"/>
      <c r="E94" s="24"/>
      <c r="F94" s="24"/>
      <c r="G94" s="24"/>
      <c r="H94" s="35"/>
      <c r="I94" s="35"/>
      <c r="J94" s="46"/>
      <c r="K94" s="24"/>
    </row>
    <row r="95" spans="1:11" x14ac:dyDescent="0.35">
      <c r="A95" s="46"/>
      <c r="B95" s="35"/>
      <c r="C95" s="35"/>
      <c r="D95" s="24"/>
      <c r="E95" s="24"/>
      <c r="F95" s="24"/>
      <c r="G95" s="24"/>
      <c r="H95" s="35"/>
      <c r="I95" s="35"/>
      <c r="J95" s="46"/>
      <c r="K95" s="24"/>
    </row>
    <row r="96" spans="1:11" x14ac:dyDescent="0.35">
      <c r="A96" s="46"/>
      <c r="B96" s="35"/>
      <c r="C96" s="35"/>
      <c r="D96" s="24"/>
      <c r="E96" s="24"/>
      <c r="F96" s="24"/>
      <c r="G96" s="24"/>
      <c r="H96" s="35"/>
      <c r="I96" s="35"/>
      <c r="J96" s="46"/>
      <c r="K96" s="24"/>
    </row>
    <row r="97" spans="1:11" x14ac:dyDescent="0.35">
      <c r="A97" s="46"/>
      <c r="B97" s="35"/>
      <c r="C97" s="35"/>
      <c r="D97" s="24"/>
      <c r="E97" s="24"/>
      <c r="F97" s="24"/>
      <c r="G97" s="24"/>
      <c r="H97" s="35"/>
      <c r="I97" s="35"/>
      <c r="J97" s="46"/>
      <c r="K97" s="24"/>
    </row>
    <row r="98" spans="1:11" x14ac:dyDescent="0.35">
      <c r="A98" s="46"/>
      <c r="B98" s="35"/>
      <c r="C98" s="35"/>
      <c r="D98" s="24"/>
      <c r="E98" s="24"/>
      <c r="F98" s="24"/>
      <c r="G98" s="24"/>
      <c r="H98" s="35"/>
      <c r="I98" s="35"/>
      <c r="J98" s="46"/>
      <c r="K98" s="24"/>
    </row>
    <row r="99" spans="1:11" x14ac:dyDescent="0.35">
      <c r="A99" s="46"/>
      <c r="B99" s="35"/>
      <c r="C99" s="35"/>
      <c r="D99" s="24"/>
      <c r="E99" s="24"/>
      <c r="F99" s="24"/>
      <c r="G99" s="24"/>
      <c r="H99" s="35"/>
      <c r="I99" s="35"/>
      <c r="J99" s="46"/>
      <c r="K99" s="24"/>
    </row>
    <row r="100" spans="1:11" x14ac:dyDescent="0.35">
      <c r="A100" s="46"/>
      <c r="B100" s="35"/>
      <c r="C100" s="35"/>
      <c r="D100" s="24"/>
      <c r="E100" s="24"/>
      <c r="F100" s="24"/>
      <c r="G100" s="24"/>
      <c r="H100" s="35"/>
      <c r="I100" s="35"/>
      <c r="J100" s="46"/>
      <c r="K100" s="24"/>
    </row>
    <row r="101" spans="1:11" x14ac:dyDescent="0.35">
      <c r="A101" s="46"/>
      <c r="B101" s="35"/>
      <c r="C101" s="35"/>
      <c r="D101" s="24"/>
      <c r="E101" s="24"/>
      <c r="F101" s="24"/>
      <c r="G101" s="24"/>
      <c r="H101" s="35"/>
      <c r="I101" s="35"/>
      <c r="J101" s="46"/>
      <c r="K101" s="24"/>
    </row>
    <row r="102" spans="1:11" x14ac:dyDescent="0.35">
      <c r="A102" s="46"/>
      <c r="B102" s="35"/>
      <c r="C102" s="35"/>
      <c r="D102" s="24"/>
      <c r="E102" s="24"/>
      <c r="F102" s="24"/>
      <c r="G102" s="24"/>
      <c r="H102" s="35"/>
      <c r="I102" s="35"/>
      <c r="J102" s="46"/>
      <c r="K102" s="24"/>
    </row>
    <row r="103" spans="1:11" x14ac:dyDescent="0.35">
      <c r="A103" s="46"/>
      <c r="B103" s="35"/>
      <c r="C103" s="35"/>
      <c r="D103" s="24"/>
      <c r="E103" s="24"/>
      <c r="F103" s="24"/>
      <c r="G103" s="24"/>
      <c r="H103" s="35"/>
      <c r="I103" s="35"/>
      <c r="J103" s="46"/>
      <c r="K103" s="24"/>
    </row>
    <row r="104" spans="1:11" x14ac:dyDescent="0.35">
      <c r="A104" s="46"/>
      <c r="B104" s="35"/>
      <c r="C104" s="35"/>
      <c r="D104" s="24"/>
      <c r="E104" s="24"/>
      <c r="F104" s="24"/>
      <c r="G104" s="24"/>
      <c r="H104" s="35"/>
      <c r="I104" s="35"/>
      <c r="J104" s="46"/>
      <c r="K104" s="24"/>
    </row>
    <row r="105" spans="1:11" x14ac:dyDescent="0.35">
      <c r="A105" s="46"/>
      <c r="B105" s="35"/>
      <c r="C105" s="35"/>
      <c r="D105" s="24"/>
      <c r="E105" s="24"/>
      <c r="F105" s="24"/>
      <c r="G105" s="24"/>
      <c r="H105" s="35"/>
      <c r="I105" s="35"/>
      <c r="J105" s="46"/>
      <c r="K105" s="24"/>
    </row>
    <row r="106" spans="1:11" x14ac:dyDescent="0.35">
      <c r="A106" s="46"/>
      <c r="B106" s="35"/>
      <c r="C106" s="35"/>
      <c r="D106" s="24"/>
      <c r="E106" s="24"/>
      <c r="F106" s="24"/>
      <c r="G106" s="24"/>
      <c r="H106" s="35"/>
      <c r="I106" s="35"/>
      <c r="J106" s="46"/>
      <c r="K106" s="24"/>
    </row>
    <row r="107" spans="1:11" x14ac:dyDescent="0.35">
      <c r="A107" s="46"/>
      <c r="B107" s="35"/>
      <c r="C107" s="35"/>
      <c r="D107" s="24"/>
      <c r="E107" s="24"/>
      <c r="F107" s="24"/>
      <c r="G107" s="24"/>
      <c r="H107" s="35"/>
      <c r="I107" s="35"/>
      <c r="J107" s="46"/>
      <c r="K107" s="24"/>
    </row>
    <row r="108" spans="1:11" x14ac:dyDescent="0.35">
      <c r="A108" s="46"/>
      <c r="B108" s="35"/>
      <c r="C108" s="35"/>
      <c r="D108" s="24"/>
      <c r="E108" s="24"/>
      <c r="F108" s="24"/>
      <c r="G108" s="24"/>
      <c r="H108" s="35"/>
      <c r="I108" s="35"/>
      <c r="J108" s="46"/>
      <c r="K108" s="24"/>
    </row>
    <row r="109" spans="1:11" x14ac:dyDescent="0.35">
      <c r="A109" s="46"/>
      <c r="B109" s="35"/>
      <c r="C109" s="35"/>
      <c r="D109" s="24"/>
      <c r="E109" s="24"/>
      <c r="F109" s="24"/>
      <c r="G109" s="24"/>
      <c r="H109" s="35"/>
      <c r="I109" s="35"/>
      <c r="J109" s="46"/>
      <c r="K109" s="24"/>
    </row>
    <row r="110" spans="1:11" x14ac:dyDescent="0.35">
      <c r="A110" s="46"/>
      <c r="B110" s="35"/>
      <c r="C110" s="35"/>
      <c r="D110" s="24"/>
      <c r="E110" s="24"/>
      <c r="F110" s="24"/>
      <c r="G110" s="24"/>
      <c r="H110" s="35"/>
      <c r="I110" s="35"/>
      <c r="J110" s="46"/>
      <c r="K110" s="24"/>
    </row>
    <row r="111" spans="1:11" x14ac:dyDescent="0.35">
      <c r="A111" s="46"/>
      <c r="B111" s="35"/>
      <c r="C111" s="35"/>
      <c r="D111" s="24"/>
      <c r="E111" s="24"/>
      <c r="F111" s="24"/>
      <c r="G111" s="24"/>
      <c r="H111" s="35"/>
      <c r="I111" s="35"/>
      <c r="J111" s="46"/>
      <c r="K111" s="24"/>
    </row>
    <row r="112" spans="1:11" x14ac:dyDescent="0.35">
      <c r="A112" s="46"/>
      <c r="B112" s="35"/>
      <c r="C112" s="35"/>
      <c r="D112" s="24"/>
      <c r="E112" s="24"/>
      <c r="F112" s="24"/>
      <c r="G112" s="24"/>
      <c r="H112" s="35"/>
      <c r="I112" s="35"/>
      <c r="J112" s="46"/>
      <c r="K112" s="24"/>
    </row>
    <row r="113" spans="1:11" x14ac:dyDescent="0.35">
      <c r="A113" s="46"/>
      <c r="B113" s="35"/>
      <c r="C113" s="35"/>
      <c r="D113" s="24"/>
      <c r="E113" s="24"/>
      <c r="F113" s="24"/>
      <c r="G113" s="24"/>
      <c r="H113" s="35"/>
      <c r="I113" s="35"/>
      <c r="J113" s="46"/>
      <c r="K113" s="24"/>
    </row>
    <row r="114" spans="1:11" x14ac:dyDescent="0.35">
      <c r="A114" s="46"/>
      <c r="B114" s="35"/>
      <c r="C114" s="35"/>
      <c r="D114" s="24"/>
      <c r="E114" s="24"/>
      <c r="F114" s="24"/>
      <c r="G114" s="24"/>
      <c r="H114" s="35"/>
      <c r="I114" s="35"/>
      <c r="J114" s="46"/>
      <c r="K114" s="24"/>
    </row>
    <row r="115" spans="1:11" x14ac:dyDescent="0.35">
      <c r="A115" s="46"/>
      <c r="B115" s="35"/>
      <c r="C115" s="35"/>
      <c r="D115" s="24"/>
      <c r="E115" s="24"/>
      <c r="F115" s="24"/>
      <c r="G115" s="24"/>
      <c r="H115" s="35"/>
      <c r="I115" s="35"/>
      <c r="J115" s="46"/>
      <c r="K115" s="24"/>
    </row>
    <row r="116" spans="1:11" x14ac:dyDescent="0.35">
      <c r="A116" s="46"/>
      <c r="B116" s="35"/>
      <c r="C116" s="35"/>
      <c r="D116" s="24"/>
      <c r="E116" s="24"/>
      <c r="F116" s="24"/>
      <c r="G116" s="24"/>
      <c r="H116" s="35"/>
      <c r="I116" s="35"/>
      <c r="J116" s="46"/>
      <c r="K116" s="24"/>
    </row>
    <row r="117" spans="1:11" x14ac:dyDescent="0.35">
      <c r="A117" s="46"/>
      <c r="B117" s="35"/>
      <c r="C117" s="35"/>
      <c r="D117" s="24"/>
      <c r="E117" s="24"/>
      <c r="F117" s="24"/>
      <c r="G117" s="24"/>
      <c r="H117" s="35"/>
      <c r="I117" s="35"/>
      <c r="J117" s="46"/>
      <c r="K117" s="24"/>
    </row>
    <row r="118" spans="1:11" x14ac:dyDescent="0.35">
      <c r="A118" s="46"/>
      <c r="B118" s="35"/>
      <c r="C118" s="35"/>
      <c r="D118" s="24"/>
      <c r="E118" s="24"/>
      <c r="F118" s="24"/>
      <c r="G118" s="24"/>
      <c r="H118" s="35"/>
      <c r="I118" s="35"/>
      <c r="J118" s="46"/>
      <c r="K118" s="24"/>
    </row>
    <row r="119" spans="1:11" x14ac:dyDescent="0.35">
      <c r="A119" s="46"/>
      <c r="B119" s="35"/>
      <c r="C119" s="35"/>
      <c r="D119" s="24"/>
      <c r="E119" s="24"/>
      <c r="F119" s="24"/>
      <c r="G119" s="24"/>
      <c r="H119" s="35"/>
      <c r="I119" s="35"/>
      <c r="J119" s="46"/>
      <c r="K119" s="24"/>
    </row>
    <row r="120" spans="1:11" x14ac:dyDescent="0.35">
      <c r="A120" s="46"/>
      <c r="B120" s="35"/>
      <c r="C120" s="35"/>
      <c r="D120" s="24"/>
      <c r="E120" s="24"/>
      <c r="F120" s="24"/>
      <c r="G120" s="24"/>
      <c r="H120" s="35"/>
      <c r="I120" s="35"/>
      <c r="J120" s="46"/>
      <c r="K120" s="24"/>
    </row>
    <row r="121" spans="1:11" x14ac:dyDescent="0.35">
      <c r="A121" s="46"/>
      <c r="B121" s="35"/>
      <c r="C121" s="35"/>
      <c r="D121" s="24"/>
      <c r="E121" s="24"/>
      <c r="F121" s="24"/>
      <c r="G121" s="24"/>
      <c r="H121" s="35"/>
      <c r="I121" s="35"/>
      <c r="J121" s="46"/>
      <c r="K121" s="24"/>
    </row>
    <row r="122" spans="1:11" x14ac:dyDescent="0.35">
      <c r="A122" s="46"/>
      <c r="B122" s="35"/>
      <c r="C122" s="35"/>
      <c r="D122" s="24"/>
      <c r="E122" s="24"/>
      <c r="F122" s="24"/>
      <c r="G122" s="24"/>
      <c r="H122" s="35"/>
      <c r="I122" s="35"/>
      <c r="J122" s="46"/>
      <c r="K122" s="24"/>
    </row>
    <row r="123" spans="1:11" x14ac:dyDescent="0.35">
      <c r="A123" s="46"/>
      <c r="B123" s="35"/>
      <c r="C123" s="35"/>
      <c r="D123" s="24"/>
      <c r="E123" s="24"/>
      <c r="F123" s="24"/>
      <c r="G123" s="24"/>
      <c r="H123" s="35"/>
      <c r="I123" s="35"/>
      <c r="J123" s="46"/>
      <c r="K123" s="24"/>
    </row>
    <row r="124" spans="1:11" x14ac:dyDescent="0.35">
      <c r="A124" s="46"/>
      <c r="B124" s="35"/>
      <c r="C124" s="35"/>
      <c r="D124" s="24"/>
      <c r="E124" s="24"/>
      <c r="F124" s="24"/>
      <c r="G124" s="24"/>
      <c r="H124" s="35"/>
      <c r="I124" s="35"/>
      <c r="J124" s="46"/>
      <c r="K124" s="24"/>
    </row>
    <row r="125" spans="1:11" x14ac:dyDescent="0.35">
      <c r="A125" s="46"/>
      <c r="B125" s="35"/>
      <c r="C125" s="35"/>
      <c r="D125" s="24"/>
      <c r="E125" s="24"/>
      <c r="F125" s="24"/>
      <c r="G125" s="24"/>
      <c r="H125" s="35"/>
      <c r="I125" s="35"/>
      <c r="J125" s="46"/>
      <c r="K125" s="24"/>
    </row>
    <row r="126" spans="1:11" x14ac:dyDescent="0.35">
      <c r="A126" s="46"/>
      <c r="B126" s="35"/>
      <c r="C126" s="35"/>
      <c r="D126" s="24"/>
      <c r="E126" s="24"/>
      <c r="F126" s="24"/>
      <c r="G126" s="24"/>
      <c r="H126" s="35"/>
      <c r="I126" s="35"/>
      <c r="J126" s="46"/>
      <c r="K126" s="24"/>
    </row>
    <row r="127" spans="1:11" x14ac:dyDescent="0.35">
      <c r="A127" s="46"/>
      <c r="B127" s="35"/>
      <c r="C127" s="35"/>
      <c r="D127" s="24"/>
      <c r="E127" s="24"/>
      <c r="F127" s="24"/>
      <c r="G127" s="24"/>
      <c r="H127" s="35"/>
      <c r="I127" s="35"/>
      <c r="J127" s="46"/>
      <c r="K127" s="24"/>
    </row>
    <row r="128" spans="1:11" x14ac:dyDescent="0.35">
      <c r="A128" s="46"/>
      <c r="B128" s="35"/>
      <c r="C128" s="35"/>
      <c r="D128" s="24"/>
      <c r="E128" s="24"/>
      <c r="F128" s="24"/>
      <c r="G128" s="24"/>
      <c r="H128" s="35"/>
      <c r="I128" s="35"/>
      <c r="J128" s="46"/>
      <c r="K128" s="24"/>
    </row>
    <row r="129" spans="1:11" x14ac:dyDescent="0.35">
      <c r="A129" s="46"/>
      <c r="B129" s="35"/>
      <c r="C129" s="35"/>
      <c r="D129" s="24"/>
      <c r="E129" s="24"/>
      <c r="F129" s="24"/>
      <c r="G129" s="24"/>
      <c r="H129" s="35"/>
      <c r="I129" s="35"/>
      <c r="J129" s="46"/>
      <c r="K129" s="24"/>
    </row>
    <row r="130" spans="1:11" x14ac:dyDescent="0.35">
      <c r="A130" s="46"/>
      <c r="B130" s="35"/>
      <c r="C130" s="35"/>
      <c r="D130" s="24"/>
      <c r="E130" s="24"/>
      <c r="F130" s="24"/>
      <c r="G130" s="24"/>
      <c r="H130" s="35"/>
      <c r="I130" s="35"/>
      <c r="J130" s="46"/>
      <c r="K130" s="24"/>
    </row>
    <row r="131" spans="1:11" x14ac:dyDescent="0.35">
      <c r="A131" s="46"/>
      <c r="B131" s="35"/>
      <c r="C131" s="35"/>
      <c r="D131" s="24"/>
      <c r="E131" s="24"/>
      <c r="F131" s="24"/>
      <c r="G131" s="24"/>
      <c r="H131" s="35"/>
      <c r="I131" s="35"/>
      <c r="J131" s="46"/>
      <c r="K131" s="24"/>
    </row>
    <row r="132" spans="1:11" x14ac:dyDescent="0.35">
      <c r="A132" s="46"/>
      <c r="B132" s="35"/>
      <c r="C132" s="35"/>
      <c r="D132" s="24"/>
      <c r="E132" s="24"/>
      <c r="F132" s="24"/>
      <c r="G132" s="24"/>
      <c r="H132" s="35"/>
      <c r="I132" s="35"/>
      <c r="J132" s="46"/>
      <c r="K132" s="24"/>
    </row>
    <row r="133" spans="1:11" x14ac:dyDescent="0.35">
      <c r="A133" s="46"/>
      <c r="B133" s="35"/>
      <c r="C133" s="35"/>
      <c r="D133" s="24"/>
      <c r="E133" s="24"/>
      <c r="F133" s="24"/>
      <c r="G133" s="24"/>
      <c r="H133" s="35"/>
      <c r="I133" s="35"/>
      <c r="J133" s="46"/>
      <c r="K133" s="24"/>
    </row>
    <row r="134" spans="1:11" x14ac:dyDescent="0.35">
      <c r="A134" s="46"/>
      <c r="B134" s="35"/>
      <c r="C134" s="35"/>
      <c r="D134" s="24"/>
      <c r="E134" s="24"/>
      <c r="F134" s="24"/>
      <c r="G134" s="24"/>
      <c r="H134" s="35"/>
      <c r="I134" s="35"/>
      <c r="J134" s="46"/>
      <c r="K134" s="24"/>
    </row>
    <row r="135" spans="1:11" x14ac:dyDescent="0.35">
      <c r="A135" s="46"/>
      <c r="B135" s="35"/>
      <c r="C135" s="35"/>
      <c r="D135" s="24"/>
      <c r="E135" s="24"/>
      <c r="F135" s="24"/>
      <c r="G135" s="24"/>
      <c r="H135" s="35"/>
      <c r="I135" s="35"/>
      <c r="J135" s="46"/>
      <c r="K135" s="24"/>
    </row>
    <row r="136" spans="1:11" x14ac:dyDescent="0.35">
      <c r="A136" s="46"/>
      <c r="B136" s="35"/>
      <c r="C136" s="35"/>
      <c r="D136" s="24"/>
      <c r="E136" s="24"/>
      <c r="F136" s="24"/>
      <c r="G136" s="24"/>
      <c r="H136" s="35"/>
      <c r="I136" s="35"/>
      <c r="J136" s="46"/>
      <c r="K136" s="24"/>
    </row>
    <row r="137" spans="1:11" x14ac:dyDescent="0.35">
      <c r="A137" s="46"/>
      <c r="B137" s="35"/>
      <c r="C137" s="35"/>
      <c r="D137" s="24"/>
      <c r="E137" s="24"/>
      <c r="F137" s="24"/>
      <c r="G137" s="24"/>
      <c r="H137" s="35"/>
      <c r="I137" s="35"/>
      <c r="J137" s="46"/>
      <c r="K137" s="24"/>
    </row>
    <row r="138" spans="1:11" x14ac:dyDescent="0.35">
      <c r="A138" s="46"/>
      <c r="B138" s="35"/>
      <c r="C138" s="35"/>
      <c r="D138" s="24"/>
      <c r="E138" s="24"/>
      <c r="F138" s="24"/>
      <c r="G138" s="24"/>
      <c r="H138" s="35"/>
      <c r="I138" s="35"/>
      <c r="J138" s="46"/>
      <c r="K138" s="24"/>
    </row>
    <row r="139" spans="1:11" x14ac:dyDescent="0.35">
      <c r="A139" s="46"/>
      <c r="B139" s="35"/>
      <c r="C139" s="35"/>
      <c r="D139" s="24"/>
      <c r="E139" s="24"/>
      <c r="F139" s="24"/>
      <c r="G139" s="24"/>
      <c r="H139" s="35"/>
      <c r="I139" s="35"/>
      <c r="J139" s="46"/>
      <c r="K139" s="24"/>
    </row>
    <row r="140" spans="1:11" x14ac:dyDescent="0.35">
      <c r="A140" s="46"/>
      <c r="B140" s="35"/>
      <c r="C140" s="35"/>
      <c r="D140" s="24"/>
      <c r="E140" s="24"/>
      <c r="F140" s="24"/>
      <c r="G140" s="24"/>
      <c r="H140" s="35"/>
      <c r="I140" s="35"/>
      <c r="J140" s="46"/>
      <c r="K140" s="24"/>
    </row>
    <row r="141" spans="1:11" x14ac:dyDescent="0.35">
      <c r="A141" s="46"/>
      <c r="B141" s="35"/>
      <c r="C141" s="35"/>
      <c r="D141" s="24"/>
      <c r="E141" s="24"/>
      <c r="F141" s="24"/>
      <c r="G141" s="24"/>
      <c r="H141" s="35"/>
      <c r="I141" s="35"/>
      <c r="J141" s="46"/>
      <c r="K141" s="24"/>
    </row>
    <row r="142" spans="1:11" x14ac:dyDescent="0.35">
      <c r="A142" s="46"/>
      <c r="B142" s="35"/>
      <c r="C142" s="35"/>
      <c r="D142" s="24"/>
      <c r="E142" s="24"/>
      <c r="F142" s="24"/>
      <c r="G142" s="24"/>
      <c r="H142" s="35"/>
      <c r="I142" s="35"/>
      <c r="J142" s="46"/>
      <c r="K142" s="24"/>
    </row>
    <row r="143" spans="1:11" x14ac:dyDescent="0.35">
      <c r="A143" s="46"/>
      <c r="B143" s="35"/>
      <c r="C143" s="35"/>
      <c r="D143" s="24"/>
      <c r="E143" s="24"/>
      <c r="F143" s="24"/>
      <c r="G143" s="24"/>
      <c r="H143" s="35"/>
      <c r="I143" s="35"/>
      <c r="J143" s="46"/>
      <c r="K143" s="24"/>
    </row>
    <row r="144" spans="1:11" x14ac:dyDescent="0.35">
      <c r="A144" s="46"/>
      <c r="B144" s="35"/>
      <c r="C144" s="35"/>
      <c r="D144" s="24"/>
      <c r="E144" s="24"/>
      <c r="F144" s="24"/>
      <c r="G144" s="24"/>
      <c r="H144" s="35"/>
      <c r="I144" s="35"/>
      <c r="J144" s="46"/>
      <c r="K144" s="24"/>
    </row>
    <row r="145" spans="1:11" x14ac:dyDescent="0.35">
      <c r="A145" s="46"/>
      <c r="B145" s="35"/>
      <c r="C145" s="35"/>
      <c r="D145" s="24"/>
      <c r="E145" s="24"/>
      <c r="F145" s="24"/>
      <c r="G145" s="24"/>
      <c r="H145" s="35"/>
      <c r="I145" s="35"/>
      <c r="J145" s="46"/>
      <c r="K145" s="24"/>
    </row>
    <row r="146" spans="1:11" x14ac:dyDescent="0.35">
      <c r="A146" s="46"/>
      <c r="B146" s="35"/>
      <c r="C146" s="35"/>
      <c r="D146" s="24"/>
      <c r="E146" s="24"/>
      <c r="F146" s="24"/>
      <c r="G146" s="24"/>
      <c r="H146" s="35"/>
      <c r="I146" s="35"/>
      <c r="J146" s="46"/>
      <c r="K146" s="24"/>
    </row>
    <row r="147" spans="1:11" x14ac:dyDescent="0.35">
      <c r="A147" s="46"/>
      <c r="B147" s="35"/>
      <c r="C147" s="35"/>
      <c r="D147" s="24"/>
      <c r="E147" s="24"/>
      <c r="F147" s="24"/>
      <c r="G147" s="24"/>
      <c r="H147" s="35"/>
      <c r="I147" s="35"/>
      <c r="J147" s="46"/>
      <c r="K147" s="24"/>
    </row>
    <row r="148" spans="1:11" x14ac:dyDescent="0.35">
      <c r="A148" s="46"/>
      <c r="B148" s="35"/>
      <c r="C148" s="35"/>
      <c r="D148" s="24"/>
      <c r="E148" s="24"/>
      <c r="F148" s="24"/>
      <c r="G148" s="24"/>
      <c r="H148" s="35"/>
      <c r="I148" s="35"/>
      <c r="J148" s="46"/>
      <c r="K148" s="24"/>
    </row>
    <row r="149" spans="1:11" x14ac:dyDescent="0.35">
      <c r="A149" s="46"/>
      <c r="B149" s="35"/>
      <c r="C149" s="35"/>
      <c r="D149" s="24"/>
      <c r="E149" s="24"/>
      <c r="F149" s="24"/>
      <c r="G149" s="24"/>
      <c r="H149" s="35"/>
      <c r="I149" s="35"/>
      <c r="J149" s="46"/>
      <c r="K149" s="24"/>
    </row>
    <row r="150" spans="1:11" x14ac:dyDescent="0.35">
      <c r="A150" s="46"/>
      <c r="B150" s="35"/>
      <c r="C150" s="35"/>
      <c r="D150" s="24"/>
      <c r="E150" s="24"/>
      <c r="F150" s="24"/>
      <c r="G150" s="24"/>
      <c r="H150" s="35"/>
      <c r="I150" s="35"/>
      <c r="J150" s="46"/>
      <c r="K150" s="24"/>
    </row>
    <row r="151" spans="1:11" x14ac:dyDescent="0.35">
      <c r="A151" s="46"/>
      <c r="B151" s="35"/>
      <c r="C151" s="35"/>
      <c r="D151" s="24"/>
      <c r="E151" s="24"/>
      <c r="F151" s="24"/>
      <c r="G151" s="24"/>
      <c r="H151" s="35"/>
      <c r="I151" s="35"/>
      <c r="J151" s="46"/>
      <c r="K151" s="24"/>
    </row>
    <row r="152" spans="1:11" x14ac:dyDescent="0.35">
      <c r="A152" s="46"/>
      <c r="B152" s="35"/>
      <c r="C152" s="35"/>
      <c r="D152" s="24"/>
      <c r="E152" s="24"/>
      <c r="F152" s="24"/>
      <c r="G152" s="24"/>
      <c r="H152" s="35"/>
      <c r="I152" s="35"/>
      <c r="J152" s="46"/>
      <c r="K152" s="24"/>
    </row>
    <row r="153" spans="1:11" x14ac:dyDescent="0.35">
      <c r="A153" s="46"/>
      <c r="B153" s="35"/>
      <c r="C153" s="35"/>
      <c r="D153" s="24"/>
      <c r="E153" s="24"/>
      <c r="F153" s="24"/>
      <c r="G153" s="24"/>
      <c r="H153" s="35"/>
      <c r="I153" s="35"/>
      <c r="J153" s="46"/>
      <c r="K153" s="24"/>
    </row>
    <row r="154" spans="1:11" x14ac:dyDescent="0.35">
      <c r="A154" s="46"/>
      <c r="B154" s="35"/>
      <c r="C154" s="35"/>
      <c r="D154" s="24"/>
      <c r="E154" s="24"/>
      <c r="F154" s="24"/>
      <c r="G154" s="24"/>
      <c r="H154" s="35"/>
      <c r="I154" s="35"/>
      <c r="J154" s="46"/>
      <c r="K154" s="24"/>
    </row>
    <row r="155" spans="1:11" x14ac:dyDescent="0.35">
      <c r="A155" s="46"/>
      <c r="B155" s="35"/>
      <c r="C155" s="35"/>
      <c r="D155" s="24"/>
      <c r="E155" s="24"/>
      <c r="F155" s="24"/>
      <c r="G155" s="24"/>
      <c r="H155" s="35"/>
      <c r="I155" s="35"/>
      <c r="J155" s="46"/>
      <c r="K155" s="24"/>
    </row>
    <row r="156" spans="1:11" x14ac:dyDescent="0.35">
      <c r="A156" s="46"/>
      <c r="B156" s="35"/>
      <c r="C156" s="35"/>
      <c r="D156" s="24"/>
      <c r="E156" s="24"/>
      <c r="F156" s="24"/>
      <c r="G156" s="24"/>
      <c r="H156" s="35"/>
      <c r="I156" s="35"/>
      <c r="J156" s="46"/>
      <c r="K156" s="24"/>
    </row>
    <row r="157" spans="1:11" x14ac:dyDescent="0.35">
      <c r="A157" s="46"/>
      <c r="B157" s="35"/>
      <c r="C157" s="35"/>
      <c r="D157" s="24"/>
      <c r="E157" s="24"/>
      <c r="F157" s="24"/>
      <c r="G157" s="24"/>
      <c r="H157" s="35"/>
      <c r="I157" s="35"/>
      <c r="J157" s="46"/>
      <c r="K157" s="24"/>
    </row>
    <row r="158" spans="1:11" x14ac:dyDescent="0.35">
      <c r="A158" s="46"/>
      <c r="B158" s="35"/>
      <c r="C158" s="35"/>
      <c r="D158" s="24"/>
      <c r="E158" s="24"/>
      <c r="F158" s="24"/>
      <c r="G158" s="24"/>
      <c r="H158" s="35"/>
      <c r="I158" s="35"/>
      <c r="J158" s="46"/>
      <c r="K158" s="24"/>
    </row>
    <row r="159" spans="1:11" x14ac:dyDescent="0.35">
      <c r="A159" s="46"/>
      <c r="B159" s="35"/>
      <c r="C159" s="35"/>
      <c r="D159" s="24"/>
      <c r="E159" s="24"/>
      <c r="F159" s="24"/>
      <c r="G159" s="24"/>
      <c r="H159" s="35"/>
      <c r="I159" s="35"/>
      <c r="J159" s="46"/>
      <c r="K159" s="24"/>
    </row>
    <row r="160" spans="1:11" x14ac:dyDescent="0.35">
      <c r="A160" s="46"/>
      <c r="B160" s="35"/>
      <c r="C160" s="35"/>
      <c r="D160" s="24"/>
      <c r="E160" s="24"/>
      <c r="F160" s="24"/>
      <c r="G160" s="24"/>
      <c r="H160" s="35"/>
      <c r="I160" s="35"/>
      <c r="J160" s="46"/>
      <c r="K160" s="24"/>
    </row>
    <row r="161" spans="1:11" x14ac:dyDescent="0.35">
      <c r="A161" s="46"/>
      <c r="B161" s="35"/>
      <c r="C161" s="35"/>
      <c r="D161" s="24"/>
      <c r="E161" s="24"/>
      <c r="F161" s="24"/>
      <c r="G161" s="24"/>
      <c r="H161" s="35"/>
      <c r="I161" s="35"/>
      <c r="J161" s="46"/>
      <c r="K161" s="24"/>
    </row>
    <row r="162" spans="1:11" x14ac:dyDescent="0.35">
      <c r="A162" s="46"/>
      <c r="B162" s="35"/>
      <c r="C162" s="35"/>
      <c r="D162" s="24"/>
      <c r="E162" s="24"/>
      <c r="F162" s="24"/>
      <c r="G162" s="24"/>
      <c r="H162" s="35"/>
      <c r="I162" s="35"/>
      <c r="J162" s="46"/>
      <c r="K162" s="24"/>
    </row>
    <row r="163" spans="1:11" x14ac:dyDescent="0.35">
      <c r="A163" s="46"/>
      <c r="B163" s="35"/>
      <c r="C163" s="35"/>
      <c r="D163" s="24"/>
      <c r="E163" s="24"/>
      <c r="F163" s="24"/>
      <c r="G163" s="24"/>
      <c r="H163" s="35"/>
      <c r="I163" s="35"/>
      <c r="J163" s="46"/>
      <c r="K163" s="24"/>
    </row>
    <row r="164" spans="1:11" x14ac:dyDescent="0.35">
      <c r="A164" s="46"/>
      <c r="B164" s="35"/>
      <c r="C164" s="35"/>
      <c r="D164" s="24"/>
      <c r="E164" s="24"/>
      <c r="F164" s="24"/>
      <c r="G164" s="24"/>
      <c r="H164" s="35"/>
      <c r="I164" s="35"/>
      <c r="J164" s="46"/>
      <c r="K164" s="24"/>
    </row>
    <row r="165" spans="1:11" x14ac:dyDescent="0.35">
      <c r="A165" s="46"/>
      <c r="B165" s="35"/>
      <c r="C165" s="35"/>
      <c r="D165" s="24"/>
      <c r="E165" s="24"/>
      <c r="F165" s="24"/>
      <c r="G165" s="24"/>
      <c r="H165" s="35"/>
      <c r="I165" s="35"/>
      <c r="J165" s="46"/>
      <c r="K165" s="24"/>
    </row>
    <row r="166" spans="1:11" x14ac:dyDescent="0.35">
      <c r="A166" s="46"/>
      <c r="B166" s="35"/>
      <c r="C166" s="35"/>
      <c r="D166" s="24"/>
      <c r="E166" s="24"/>
      <c r="F166" s="24"/>
      <c r="G166" s="24"/>
      <c r="H166" s="35"/>
      <c r="I166" s="35"/>
      <c r="J166" s="46"/>
      <c r="K166" s="24"/>
    </row>
    <row r="167" spans="1:11" x14ac:dyDescent="0.35">
      <c r="A167" s="46"/>
      <c r="B167" s="35"/>
      <c r="C167" s="35"/>
      <c r="D167" s="24"/>
      <c r="E167" s="24"/>
      <c r="F167" s="24"/>
      <c r="G167" s="24"/>
      <c r="H167" s="35"/>
      <c r="I167" s="35"/>
      <c r="J167" s="46"/>
      <c r="K167" s="24"/>
    </row>
    <row r="168" spans="1:11" x14ac:dyDescent="0.35">
      <c r="A168" s="46"/>
      <c r="B168" s="35"/>
      <c r="C168" s="35"/>
      <c r="D168" s="24"/>
      <c r="E168" s="24"/>
      <c r="F168" s="24"/>
      <c r="G168" s="24"/>
      <c r="H168" s="35"/>
      <c r="I168" s="35"/>
      <c r="J168" s="46"/>
      <c r="K168" s="24"/>
    </row>
    <row r="169" spans="1:11" x14ac:dyDescent="0.35">
      <c r="A169" s="46"/>
      <c r="B169" s="35"/>
      <c r="C169" s="35"/>
      <c r="D169" s="24"/>
      <c r="E169" s="24"/>
      <c r="F169" s="24"/>
      <c r="G169" s="24"/>
      <c r="H169" s="35"/>
      <c r="I169" s="35"/>
      <c r="J169" s="46"/>
      <c r="K169" s="24"/>
    </row>
    <row r="170" spans="1:11" x14ac:dyDescent="0.35">
      <c r="A170" s="46"/>
      <c r="B170" s="35"/>
      <c r="C170" s="35"/>
      <c r="D170" s="24"/>
      <c r="E170" s="24"/>
      <c r="F170" s="24"/>
      <c r="G170" s="24"/>
      <c r="H170" s="35"/>
      <c r="I170" s="35"/>
      <c r="J170" s="46"/>
      <c r="K170" s="24"/>
    </row>
    <row r="171" spans="1:11" x14ac:dyDescent="0.35">
      <c r="A171" s="46"/>
      <c r="B171" s="35"/>
      <c r="C171" s="35"/>
      <c r="D171" s="24"/>
      <c r="E171" s="24"/>
      <c r="F171" s="24"/>
      <c r="G171" s="24"/>
      <c r="H171" s="35"/>
      <c r="I171" s="35"/>
      <c r="J171" s="46"/>
      <c r="K171" s="24"/>
    </row>
    <row r="172" spans="1:11" x14ac:dyDescent="0.35">
      <c r="A172" s="46"/>
      <c r="B172" s="35"/>
      <c r="C172" s="35"/>
      <c r="D172" s="24"/>
      <c r="E172" s="24"/>
      <c r="F172" s="24"/>
      <c r="G172" s="24"/>
      <c r="H172" s="35"/>
      <c r="I172" s="35"/>
      <c r="J172" s="46"/>
      <c r="K172" s="24"/>
    </row>
    <row r="173" spans="1:11" x14ac:dyDescent="0.35">
      <c r="A173" s="46"/>
      <c r="B173" s="35"/>
      <c r="C173" s="35"/>
      <c r="D173" s="24"/>
      <c r="E173" s="24"/>
      <c r="F173" s="24"/>
      <c r="G173" s="24"/>
      <c r="H173" s="35"/>
      <c r="I173" s="35"/>
      <c r="J173" s="46"/>
      <c r="K173" s="24"/>
    </row>
    <row r="174" spans="1:11" x14ac:dyDescent="0.35">
      <c r="A174" s="46"/>
      <c r="B174" s="35"/>
      <c r="C174" s="35"/>
      <c r="D174" s="24"/>
      <c r="E174" s="24"/>
      <c r="F174" s="24"/>
      <c r="G174" s="24"/>
      <c r="H174" s="35"/>
      <c r="I174" s="35"/>
      <c r="J174" s="46"/>
      <c r="K174" s="24"/>
    </row>
    <row r="175" spans="1:11" x14ac:dyDescent="0.35">
      <c r="A175" s="46"/>
      <c r="B175" s="35"/>
      <c r="C175" s="35"/>
      <c r="D175" s="24"/>
      <c r="E175" s="24"/>
      <c r="F175" s="24"/>
      <c r="G175" s="24"/>
      <c r="H175" s="35"/>
      <c r="I175" s="35"/>
      <c r="J175" s="46"/>
      <c r="K175" s="24"/>
    </row>
    <row r="176" spans="1:11" x14ac:dyDescent="0.35">
      <c r="A176" s="46"/>
      <c r="B176" s="35"/>
      <c r="C176" s="35"/>
      <c r="D176" s="24"/>
      <c r="E176" s="24"/>
      <c r="F176" s="24"/>
      <c r="G176" s="24"/>
      <c r="H176" s="35"/>
      <c r="I176" s="35"/>
      <c r="J176" s="46"/>
      <c r="K176" s="24"/>
    </row>
    <row r="177" spans="1:11" x14ac:dyDescent="0.35">
      <c r="A177" s="46"/>
      <c r="B177" s="35"/>
      <c r="C177" s="35"/>
      <c r="D177" s="24"/>
      <c r="E177" s="24"/>
      <c r="F177" s="24"/>
      <c r="G177" s="24"/>
      <c r="H177" s="35"/>
      <c r="I177" s="35"/>
      <c r="J177" s="46"/>
      <c r="K177" s="24"/>
    </row>
    <row r="178" spans="1:11" x14ac:dyDescent="0.35">
      <c r="A178" s="46"/>
      <c r="B178" s="35"/>
      <c r="C178" s="35"/>
      <c r="D178" s="24"/>
      <c r="E178" s="24"/>
      <c r="F178" s="24"/>
      <c r="G178" s="24"/>
      <c r="H178" s="35"/>
      <c r="I178" s="35"/>
      <c r="J178" s="46"/>
      <c r="K178" s="24"/>
    </row>
    <row r="179" spans="1:11" x14ac:dyDescent="0.35">
      <c r="A179" s="46"/>
      <c r="B179" s="35"/>
      <c r="C179" s="35"/>
      <c r="D179" s="24"/>
      <c r="E179" s="24"/>
      <c r="F179" s="24"/>
      <c r="G179" s="24"/>
      <c r="H179" s="35"/>
      <c r="I179" s="35"/>
      <c r="J179" s="46"/>
      <c r="K179" s="24"/>
    </row>
    <row r="180" spans="1:11" x14ac:dyDescent="0.35">
      <c r="A180" s="46"/>
      <c r="B180" s="35"/>
      <c r="C180" s="35"/>
      <c r="D180" s="24"/>
      <c r="E180" s="24"/>
      <c r="F180" s="24"/>
      <c r="G180" s="24"/>
      <c r="H180" s="35"/>
      <c r="I180" s="35"/>
      <c r="J180" s="46"/>
      <c r="K180" s="24"/>
    </row>
    <row r="181" spans="1:11" x14ac:dyDescent="0.35">
      <c r="A181" s="46"/>
      <c r="B181" s="35"/>
      <c r="C181" s="35"/>
      <c r="D181" s="24"/>
      <c r="E181" s="24"/>
      <c r="F181" s="24"/>
      <c r="G181" s="24"/>
      <c r="H181" s="35"/>
      <c r="I181" s="35"/>
      <c r="J181" s="46"/>
      <c r="K181" s="24"/>
    </row>
    <row r="182" spans="1:11" x14ac:dyDescent="0.35">
      <c r="A182" s="46"/>
      <c r="B182" s="35"/>
      <c r="C182" s="35"/>
      <c r="D182" s="24"/>
      <c r="E182" s="24"/>
      <c r="F182" s="24"/>
      <c r="G182" s="24"/>
      <c r="H182" s="35"/>
      <c r="I182" s="35"/>
      <c r="J182" s="46"/>
      <c r="K182" s="24"/>
    </row>
    <row r="183" spans="1:11" x14ac:dyDescent="0.35">
      <c r="A183" s="46"/>
      <c r="B183" s="35"/>
      <c r="C183" s="35"/>
      <c r="D183" s="24"/>
      <c r="E183" s="24"/>
      <c r="F183" s="24"/>
      <c r="G183" s="24"/>
      <c r="H183" s="35"/>
      <c r="I183" s="35"/>
      <c r="J183" s="46"/>
      <c r="K183" s="24"/>
    </row>
    <row r="184" spans="1:11" x14ac:dyDescent="0.35">
      <c r="A184" s="46"/>
      <c r="B184" s="35"/>
      <c r="C184" s="35"/>
      <c r="D184" s="24"/>
      <c r="E184" s="24"/>
      <c r="F184" s="24"/>
      <c r="G184" s="24"/>
      <c r="H184" s="35"/>
      <c r="I184" s="35"/>
      <c r="J184" s="46"/>
      <c r="K184" s="24"/>
    </row>
    <row r="185" spans="1:11" x14ac:dyDescent="0.35">
      <c r="A185" s="46"/>
      <c r="B185" s="35"/>
      <c r="C185" s="35"/>
      <c r="D185" s="24"/>
      <c r="E185" s="24"/>
      <c r="F185" s="24"/>
      <c r="G185" s="24"/>
      <c r="H185" s="35"/>
      <c r="I185" s="35"/>
      <c r="J185" s="46"/>
      <c r="K185" s="24"/>
    </row>
    <row r="186" spans="1:11" x14ac:dyDescent="0.35">
      <c r="A186" s="46"/>
      <c r="B186" s="35"/>
      <c r="C186" s="35"/>
      <c r="D186" s="24"/>
      <c r="E186" s="24"/>
      <c r="F186" s="24"/>
      <c r="G186" s="24"/>
      <c r="H186" s="35"/>
      <c r="I186" s="35"/>
      <c r="J186" s="46"/>
      <c r="K186" s="24"/>
    </row>
    <row r="187" spans="1:11" x14ac:dyDescent="0.35">
      <c r="A187" s="46"/>
      <c r="B187" s="35"/>
      <c r="C187" s="35"/>
      <c r="D187" s="24"/>
      <c r="E187" s="24"/>
      <c r="F187" s="24"/>
      <c r="G187" s="24"/>
      <c r="H187" s="35"/>
      <c r="I187" s="35"/>
      <c r="J187" s="46"/>
      <c r="K187" s="24"/>
    </row>
    <row r="188" spans="1:11" x14ac:dyDescent="0.35">
      <c r="A188" s="46"/>
      <c r="B188" s="35"/>
      <c r="C188" s="35"/>
      <c r="D188" s="24"/>
      <c r="E188" s="24"/>
      <c r="F188" s="24"/>
      <c r="G188" s="24"/>
      <c r="H188" s="35"/>
      <c r="I188" s="35"/>
      <c r="J188" s="46"/>
      <c r="K188" s="24"/>
    </row>
    <row r="189" spans="1:11" x14ac:dyDescent="0.35">
      <c r="A189" s="46"/>
      <c r="B189" s="35"/>
      <c r="C189" s="35"/>
      <c r="D189" s="24"/>
      <c r="E189" s="24"/>
      <c r="F189" s="24"/>
      <c r="G189" s="24"/>
      <c r="H189" s="35"/>
      <c r="I189" s="35"/>
      <c r="J189" s="46"/>
      <c r="K189" s="24"/>
    </row>
    <row r="190" spans="1:11" x14ac:dyDescent="0.35">
      <c r="A190" s="46"/>
      <c r="B190" s="35"/>
      <c r="C190" s="35"/>
      <c r="D190" s="24"/>
      <c r="E190" s="24"/>
      <c r="F190" s="24"/>
      <c r="G190" s="24"/>
      <c r="H190" s="35"/>
      <c r="I190" s="35"/>
      <c r="J190" s="46"/>
      <c r="K190" s="24"/>
    </row>
    <row r="191" spans="1:11" x14ac:dyDescent="0.35">
      <c r="A191" s="46"/>
      <c r="B191" s="35"/>
      <c r="C191" s="35"/>
      <c r="D191" s="24"/>
      <c r="E191" s="24"/>
      <c r="F191" s="24"/>
      <c r="G191" s="24"/>
      <c r="H191" s="35"/>
      <c r="I191" s="35"/>
      <c r="J191" s="46"/>
      <c r="K191" s="24"/>
    </row>
    <row r="192" spans="1:11" x14ac:dyDescent="0.35">
      <c r="A192" s="46"/>
      <c r="B192" s="35"/>
      <c r="C192" s="35"/>
      <c r="D192" s="24"/>
      <c r="E192" s="24"/>
      <c r="F192" s="24"/>
      <c r="G192" s="24"/>
      <c r="H192" s="35"/>
      <c r="I192" s="35"/>
      <c r="J192" s="46"/>
      <c r="K192" s="24"/>
    </row>
    <row r="193" spans="1:11" x14ac:dyDescent="0.35">
      <c r="A193" s="46"/>
      <c r="B193" s="35"/>
      <c r="C193" s="35"/>
      <c r="D193" s="24"/>
      <c r="E193" s="24"/>
      <c r="F193" s="24"/>
      <c r="G193" s="24"/>
      <c r="H193" s="35"/>
      <c r="I193" s="35"/>
      <c r="J193" s="46"/>
      <c r="K193" s="24"/>
    </row>
    <row r="194" spans="1:11" x14ac:dyDescent="0.35">
      <c r="A194" s="46"/>
      <c r="B194" s="35"/>
      <c r="C194" s="35"/>
      <c r="D194" s="24"/>
      <c r="E194" s="24"/>
      <c r="F194" s="24"/>
      <c r="G194" s="24"/>
      <c r="H194" s="35"/>
      <c r="I194" s="35"/>
      <c r="J194" s="46"/>
      <c r="K194" s="24"/>
    </row>
    <row r="195" spans="1:11" x14ac:dyDescent="0.35">
      <c r="A195" s="46"/>
      <c r="B195" s="35"/>
      <c r="C195" s="35"/>
      <c r="D195" s="24"/>
      <c r="E195" s="24"/>
      <c r="F195" s="24"/>
      <c r="G195" s="24"/>
      <c r="H195" s="35"/>
      <c r="I195" s="35"/>
      <c r="J195" s="46"/>
      <c r="K195" s="24"/>
    </row>
    <row r="196" spans="1:11" x14ac:dyDescent="0.35">
      <c r="A196" s="46"/>
      <c r="B196" s="35"/>
      <c r="C196" s="35"/>
      <c r="D196" s="24"/>
      <c r="E196" s="24"/>
      <c r="F196" s="24"/>
      <c r="G196" s="24"/>
      <c r="H196" s="35"/>
      <c r="I196" s="35"/>
      <c r="J196" s="46"/>
      <c r="K196" s="24"/>
    </row>
    <row r="197" spans="1:11" x14ac:dyDescent="0.35">
      <c r="A197" s="46"/>
      <c r="B197" s="35"/>
      <c r="C197" s="35"/>
      <c r="D197" s="24"/>
      <c r="E197" s="24"/>
      <c r="F197" s="24"/>
      <c r="G197" s="24"/>
      <c r="H197" s="35"/>
      <c r="I197" s="35"/>
      <c r="J197" s="46"/>
      <c r="K197" s="24"/>
    </row>
    <row r="198" spans="1:11" x14ac:dyDescent="0.35">
      <c r="A198" s="46"/>
      <c r="B198" s="35"/>
      <c r="C198" s="35"/>
      <c r="D198" s="24"/>
      <c r="E198" s="24"/>
      <c r="F198" s="24"/>
      <c r="G198" s="24"/>
      <c r="H198" s="35"/>
      <c r="I198" s="35"/>
      <c r="J198" s="46"/>
      <c r="K198" s="24"/>
    </row>
    <row r="199" spans="1:11" x14ac:dyDescent="0.35">
      <c r="A199" s="46"/>
      <c r="B199" s="35"/>
      <c r="C199" s="35"/>
      <c r="D199" s="24"/>
      <c r="E199" s="24"/>
      <c r="F199" s="24"/>
      <c r="G199" s="24"/>
      <c r="H199" s="35"/>
      <c r="I199" s="35"/>
      <c r="J199" s="46"/>
      <c r="K199" s="24"/>
    </row>
    <row r="200" spans="1:11" x14ac:dyDescent="0.35">
      <c r="A200" s="46"/>
      <c r="B200" s="35"/>
      <c r="C200" s="35"/>
      <c r="D200" s="24"/>
      <c r="E200" s="24"/>
      <c r="F200" s="24"/>
      <c r="G200" s="24"/>
      <c r="H200" s="35"/>
      <c r="I200" s="35"/>
      <c r="J200" s="46"/>
      <c r="K200" s="24"/>
    </row>
    <row r="201" spans="1:11" x14ac:dyDescent="0.35">
      <c r="A201" s="46"/>
      <c r="B201" s="35"/>
      <c r="C201" s="35"/>
      <c r="D201" s="24"/>
      <c r="E201" s="24"/>
      <c r="F201" s="24"/>
      <c r="G201" s="24"/>
      <c r="H201" s="35"/>
      <c r="I201" s="35"/>
      <c r="J201" s="46"/>
      <c r="K201" s="24"/>
    </row>
    <row r="202" spans="1:11" x14ac:dyDescent="0.35">
      <c r="A202" s="46"/>
      <c r="B202" s="35"/>
      <c r="C202" s="35"/>
      <c r="D202" s="24"/>
      <c r="E202" s="24"/>
      <c r="F202" s="24"/>
      <c r="G202" s="24"/>
      <c r="H202" s="35"/>
      <c r="I202" s="35"/>
      <c r="J202" s="46"/>
      <c r="K202" s="24"/>
    </row>
    <row r="203" spans="1:11" x14ac:dyDescent="0.35">
      <c r="A203" s="46"/>
      <c r="B203" s="35"/>
      <c r="C203" s="35"/>
      <c r="D203" s="24"/>
      <c r="E203" s="24"/>
      <c r="F203" s="24"/>
      <c r="G203" s="24"/>
      <c r="H203" s="35"/>
      <c r="I203" s="35"/>
      <c r="J203" s="46"/>
      <c r="K203" s="24"/>
    </row>
    <row r="204" spans="1:11" x14ac:dyDescent="0.35">
      <c r="A204" s="46"/>
      <c r="B204" s="35"/>
      <c r="C204" s="35"/>
      <c r="D204" s="24"/>
      <c r="E204" s="24"/>
      <c r="F204" s="24"/>
      <c r="G204" s="24"/>
      <c r="H204" s="35"/>
      <c r="I204" s="35"/>
      <c r="J204" s="46"/>
      <c r="K204" s="24"/>
    </row>
    <row r="205" spans="1:11" x14ac:dyDescent="0.35">
      <c r="A205" s="46"/>
      <c r="B205" s="35"/>
      <c r="C205" s="35"/>
      <c r="D205" s="24"/>
      <c r="E205" s="24"/>
      <c r="F205" s="24"/>
      <c r="G205" s="24"/>
      <c r="H205" s="35"/>
      <c r="I205" s="35"/>
      <c r="J205" s="46"/>
      <c r="K205" s="24"/>
    </row>
    <row r="206" spans="1:11" x14ac:dyDescent="0.35">
      <c r="A206" s="46"/>
      <c r="B206" s="35"/>
      <c r="C206" s="35"/>
      <c r="D206" s="24"/>
      <c r="E206" s="24"/>
      <c r="F206" s="24"/>
      <c r="G206" s="24"/>
      <c r="H206" s="35"/>
      <c r="I206" s="35"/>
      <c r="J206" s="46"/>
      <c r="K206" s="24"/>
    </row>
    <row r="207" spans="1:11" x14ac:dyDescent="0.35">
      <c r="A207" s="46"/>
      <c r="B207" s="35"/>
      <c r="C207" s="35"/>
      <c r="D207" s="24"/>
      <c r="E207" s="24"/>
      <c r="F207" s="24"/>
      <c r="G207" s="24"/>
      <c r="H207" s="35"/>
      <c r="I207" s="35"/>
      <c r="J207" s="46"/>
      <c r="K207" s="24"/>
    </row>
    <row r="208" spans="1:11" x14ac:dyDescent="0.35">
      <c r="A208" s="46"/>
      <c r="B208" s="35"/>
      <c r="C208" s="35"/>
      <c r="D208" s="24"/>
      <c r="E208" s="24"/>
      <c r="F208" s="24"/>
      <c r="G208" s="24"/>
      <c r="H208" s="35"/>
      <c r="I208" s="35"/>
      <c r="J208" s="46"/>
      <c r="K208" s="24"/>
    </row>
    <row r="209" spans="1:11" x14ac:dyDescent="0.35">
      <c r="A209" s="46"/>
      <c r="B209" s="35"/>
      <c r="C209" s="35"/>
      <c r="D209" s="24"/>
      <c r="E209" s="24"/>
      <c r="F209" s="24"/>
      <c r="G209" s="24"/>
      <c r="H209" s="35"/>
      <c r="I209" s="35"/>
      <c r="J209" s="46"/>
      <c r="K209" s="24"/>
    </row>
    <row r="210" spans="1:11" x14ac:dyDescent="0.35">
      <c r="A210" s="46"/>
      <c r="B210" s="35"/>
      <c r="C210" s="35"/>
      <c r="D210" s="24"/>
      <c r="E210" s="24"/>
      <c r="F210" s="24"/>
      <c r="G210" s="24"/>
      <c r="H210" s="35"/>
      <c r="I210" s="35"/>
      <c r="J210" s="46"/>
      <c r="K210" s="24"/>
    </row>
    <row r="211" spans="1:11" x14ac:dyDescent="0.35">
      <c r="A211" s="46"/>
      <c r="B211" s="35"/>
      <c r="C211" s="35"/>
      <c r="D211" s="24"/>
      <c r="E211" s="24"/>
      <c r="F211" s="24"/>
      <c r="G211" s="24"/>
      <c r="H211" s="35"/>
      <c r="I211" s="35"/>
      <c r="J211" s="46"/>
      <c r="K211" s="24"/>
    </row>
    <row r="212" spans="1:11" x14ac:dyDescent="0.35">
      <c r="A212" s="46"/>
      <c r="B212" s="35"/>
      <c r="C212" s="35"/>
      <c r="D212" s="24"/>
      <c r="E212" s="24"/>
      <c r="F212" s="24"/>
      <c r="G212" s="24"/>
      <c r="H212" s="35"/>
      <c r="I212" s="35"/>
      <c r="J212" s="46"/>
      <c r="K212" s="24"/>
    </row>
    <row r="213" spans="1:11" x14ac:dyDescent="0.35">
      <c r="A213" s="46"/>
      <c r="B213" s="35"/>
      <c r="C213" s="35"/>
      <c r="D213" s="24"/>
      <c r="E213" s="24"/>
      <c r="F213" s="24"/>
      <c r="G213" s="24"/>
      <c r="H213" s="35"/>
      <c r="I213" s="35"/>
      <c r="J213" s="46"/>
      <c r="K213" s="24"/>
    </row>
    <row r="214" spans="1:11" x14ac:dyDescent="0.35">
      <c r="A214" s="46"/>
      <c r="B214" s="35"/>
      <c r="C214" s="35"/>
      <c r="D214" s="24"/>
      <c r="E214" s="24"/>
      <c r="F214" s="24"/>
      <c r="G214" s="24"/>
      <c r="H214" s="35"/>
      <c r="I214" s="35"/>
      <c r="J214" s="46"/>
      <c r="K214" s="24"/>
    </row>
    <row r="215" spans="1:11" x14ac:dyDescent="0.35">
      <c r="A215" s="46"/>
      <c r="B215" s="35"/>
      <c r="C215" s="35"/>
      <c r="D215" s="24"/>
      <c r="E215" s="24"/>
      <c r="F215" s="24"/>
      <c r="G215" s="24"/>
      <c r="H215" s="35"/>
      <c r="I215" s="35"/>
      <c r="J215" s="46"/>
      <c r="K215" s="24"/>
    </row>
    <row r="216" spans="1:11" x14ac:dyDescent="0.35">
      <c r="A216" s="46"/>
      <c r="B216" s="35"/>
      <c r="C216" s="35"/>
      <c r="D216" s="24"/>
      <c r="E216" s="24"/>
      <c r="F216" s="24"/>
      <c r="G216" s="24"/>
      <c r="H216" s="35"/>
      <c r="I216" s="35"/>
      <c r="J216" s="46"/>
      <c r="K216" s="24"/>
    </row>
    <row r="217" spans="1:11" x14ac:dyDescent="0.35">
      <c r="A217" s="46"/>
      <c r="B217" s="35"/>
      <c r="C217" s="35"/>
      <c r="D217" s="24"/>
      <c r="E217" s="24"/>
      <c r="F217" s="24"/>
      <c r="G217" s="24"/>
      <c r="H217" s="35"/>
      <c r="I217" s="35"/>
      <c r="J217" s="46"/>
      <c r="K217" s="24"/>
    </row>
    <row r="218" spans="1:11" x14ac:dyDescent="0.35">
      <c r="A218" s="46"/>
      <c r="B218" s="35"/>
      <c r="C218" s="35"/>
      <c r="D218" s="24"/>
      <c r="E218" s="24"/>
      <c r="F218" s="24"/>
      <c r="G218" s="24"/>
      <c r="H218" s="35"/>
      <c r="I218" s="35"/>
      <c r="J218" s="46"/>
      <c r="K218" s="24"/>
    </row>
    <row r="219" spans="1:11" x14ac:dyDescent="0.35">
      <c r="A219" s="46"/>
      <c r="B219" s="35"/>
      <c r="C219" s="35"/>
      <c r="D219" s="24"/>
      <c r="E219" s="24"/>
      <c r="F219" s="24"/>
      <c r="G219" s="24"/>
      <c r="H219" s="35"/>
      <c r="I219" s="35"/>
      <c r="J219" s="46"/>
      <c r="K219" s="24"/>
    </row>
    <row r="220" spans="1:11" x14ac:dyDescent="0.35">
      <c r="A220" s="46"/>
      <c r="B220" s="35"/>
      <c r="C220" s="35"/>
      <c r="D220" s="24"/>
      <c r="E220" s="24"/>
      <c r="F220" s="24"/>
      <c r="G220" s="24"/>
      <c r="H220" s="35"/>
      <c r="I220" s="35"/>
      <c r="J220" s="46"/>
      <c r="K220" s="24"/>
    </row>
    <row r="221" spans="1:11" x14ac:dyDescent="0.35">
      <c r="A221" s="46"/>
      <c r="B221" s="35"/>
      <c r="C221" s="35"/>
      <c r="D221" s="24"/>
      <c r="E221" s="24"/>
      <c r="F221" s="24"/>
      <c r="G221" s="24"/>
      <c r="H221" s="35"/>
      <c r="I221" s="35"/>
      <c r="J221" s="46"/>
      <c r="K221" s="24"/>
    </row>
    <row r="222" spans="1:11" x14ac:dyDescent="0.35">
      <c r="A222" s="46"/>
      <c r="B222" s="35"/>
      <c r="C222" s="35"/>
      <c r="D222" s="24"/>
      <c r="E222" s="24"/>
      <c r="F222" s="24"/>
      <c r="G222" s="24"/>
      <c r="H222" s="35"/>
      <c r="I222" s="35"/>
      <c r="J222" s="46"/>
      <c r="K222" s="24"/>
    </row>
    <row r="223" spans="1:11" x14ac:dyDescent="0.35">
      <c r="A223" s="46"/>
      <c r="B223" s="35"/>
      <c r="C223" s="35"/>
      <c r="D223" s="24"/>
      <c r="E223" s="24"/>
      <c r="F223" s="24"/>
      <c r="G223" s="24"/>
      <c r="H223" s="35"/>
      <c r="I223" s="35"/>
      <c r="J223" s="46"/>
      <c r="K223" s="24"/>
    </row>
    <row r="224" spans="1:11" x14ac:dyDescent="0.35">
      <c r="A224" s="46"/>
      <c r="B224" s="35"/>
      <c r="C224" s="35"/>
      <c r="D224" s="24"/>
      <c r="E224" s="24"/>
      <c r="F224" s="24"/>
      <c r="G224" s="24"/>
      <c r="H224" s="35"/>
      <c r="I224" s="35"/>
      <c r="J224" s="46"/>
      <c r="K224" s="24"/>
    </row>
    <row r="225" spans="1:11" x14ac:dyDescent="0.35">
      <c r="A225" s="46"/>
      <c r="B225" s="35"/>
      <c r="C225" s="35"/>
      <c r="D225" s="24"/>
      <c r="E225" s="24"/>
      <c r="F225" s="24"/>
      <c r="G225" s="24"/>
      <c r="H225" s="35"/>
      <c r="I225" s="35"/>
      <c r="J225" s="46"/>
      <c r="K225" s="24"/>
    </row>
    <row r="226" spans="1:11" x14ac:dyDescent="0.35">
      <c r="A226" s="46"/>
      <c r="B226" s="35"/>
      <c r="C226" s="35"/>
      <c r="D226" s="24"/>
      <c r="E226" s="24"/>
      <c r="F226" s="24"/>
      <c r="G226" s="24"/>
      <c r="H226" s="35"/>
      <c r="I226" s="35"/>
      <c r="J226" s="46"/>
      <c r="K226" s="24"/>
    </row>
    <row r="227" spans="1:11" x14ac:dyDescent="0.35">
      <c r="A227" s="46"/>
      <c r="B227" s="35"/>
      <c r="C227" s="35"/>
      <c r="D227" s="24"/>
      <c r="E227" s="24"/>
      <c r="F227" s="24"/>
      <c r="G227" s="24"/>
      <c r="H227" s="35"/>
      <c r="I227" s="35"/>
      <c r="J227" s="46"/>
      <c r="K227" s="24"/>
    </row>
    <row r="228" spans="1:11" x14ac:dyDescent="0.35">
      <c r="A228" s="46"/>
      <c r="B228" s="35"/>
      <c r="C228" s="35"/>
      <c r="D228" s="24"/>
      <c r="E228" s="24"/>
      <c r="F228" s="24"/>
      <c r="G228" s="24"/>
      <c r="H228" s="35"/>
      <c r="I228" s="35"/>
      <c r="J228" s="46"/>
      <c r="K228" s="24"/>
    </row>
    <row r="229" spans="1:11" x14ac:dyDescent="0.35">
      <c r="A229" s="46"/>
      <c r="B229" s="35"/>
      <c r="C229" s="35"/>
      <c r="D229" s="24"/>
      <c r="E229" s="24"/>
      <c r="F229" s="24"/>
      <c r="G229" s="24"/>
      <c r="H229" s="35"/>
      <c r="I229" s="35"/>
      <c r="J229" s="46"/>
      <c r="K229" s="24"/>
    </row>
    <row r="230" spans="1:11" x14ac:dyDescent="0.35">
      <c r="A230" s="46"/>
      <c r="B230" s="35"/>
      <c r="C230" s="35"/>
      <c r="D230" s="24"/>
      <c r="E230" s="24"/>
      <c r="F230" s="24"/>
      <c r="G230" s="24"/>
      <c r="H230" s="35"/>
      <c r="I230" s="35"/>
      <c r="J230" s="46"/>
      <c r="K230" s="24"/>
    </row>
    <row r="231" spans="1:11" x14ac:dyDescent="0.35">
      <c r="A231" s="46"/>
      <c r="B231" s="35"/>
      <c r="C231" s="35"/>
      <c r="D231" s="24"/>
      <c r="E231" s="24"/>
      <c r="F231" s="24"/>
      <c r="G231" s="24"/>
      <c r="H231" s="35"/>
      <c r="I231" s="35"/>
      <c r="J231" s="46"/>
      <c r="K231" s="24"/>
    </row>
    <row r="232" spans="1:11" x14ac:dyDescent="0.35">
      <c r="A232" s="46"/>
      <c r="B232" s="35"/>
      <c r="C232" s="35"/>
      <c r="D232" s="24"/>
      <c r="E232" s="24"/>
      <c r="F232" s="24"/>
      <c r="G232" s="24"/>
      <c r="H232" s="35"/>
      <c r="I232" s="35"/>
      <c r="J232" s="46"/>
      <c r="K232" s="24"/>
    </row>
    <row r="233" spans="1:11" x14ac:dyDescent="0.35">
      <c r="A233" s="46"/>
      <c r="B233" s="35"/>
      <c r="C233" s="35"/>
      <c r="D233" s="24"/>
      <c r="E233" s="24"/>
      <c r="F233" s="24"/>
      <c r="G233" s="24"/>
      <c r="H233" s="35"/>
      <c r="I233" s="35"/>
      <c r="J233" s="46"/>
      <c r="K233" s="24"/>
    </row>
    <row r="234" spans="1:11" x14ac:dyDescent="0.35">
      <c r="A234" s="46"/>
      <c r="B234" s="35"/>
      <c r="C234" s="35"/>
      <c r="D234" s="24"/>
      <c r="E234" s="24"/>
      <c r="F234" s="24"/>
      <c r="G234" s="24"/>
      <c r="H234" s="35"/>
      <c r="I234" s="35"/>
      <c r="J234" s="46"/>
      <c r="K234" s="24"/>
    </row>
    <row r="235" spans="1:11" x14ac:dyDescent="0.35">
      <c r="A235" s="46"/>
      <c r="B235" s="35"/>
      <c r="C235" s="35"/>
      <c r="D235" s="24"/>
      <c r="E235" s="24"/>
      <c r="F235" s="24"/>
      <c r="G235" s="24"/>
      <c r="H235" s="35"/>
      <c r="I235" s="35"/>
      <c r="J235" s="46"/>
      <c r="K235" s="24"/>
    </row>
    <row r="236" spans="1:11" x14ac:dyDescent="0.35">
      <c r="A236" s="46"/>
      <c r="B236" s="35"/>
      <c r="C236" s="35"/>
      <c r="D236" s="24"/>
      <c r="E236" s="24"/>
      <c r="F236" s="24"/>
      <c r="G236" s="24"/>
      <c r="H236" s="35"/>
      <c r="I236" s="35"/>
      <c r="J236" s="46"/>
      <c r="K236" s="24"/>
    </row>
    <row r="237" spans="1:11" x14ac:dyDescent="0.35">
      <c r="A237" s="46"/>
      <c r="B237" s="35"/>
      <c r="C237" s="35"/>
      <c r="D237" s="24"/>
      <c r="E237" s="24"/>
      <c r="F237" s="24"/>
      <c r="G237" s="24"/>
      <c r="H237" s="35"/>
      <c r="I237" s="35"/>
      <c r="J237" s="46"/>
      <c r="K237" s="24"/>
    </row>
    <row r="238" spans="1:11" x14ac:dyDescent="0.35">
      <c r="A238" s="46"/>
      <c r="B238" s="35"/>
      <c r="C238" s="35"/>
      <c r="D238" s="24"/>
      <c r="E238" s="24"/>
      <c r="F238" s="24"/>
      <c r="G238" s="24"/>
      <c r="H238" s="35"/>
      <c r="I238" s="35"/>
      <c r="J238" s="46"/>
      <c r="K238" s="24"/>
    </row>
    <row r="239" spans="1:11" x14ac:dyDescent="0.35">
      <c r="A239" s="46"/>
      <c r="B239" s="35"/>
      <c r="C239" s="35"/>
      <c r="D239" s="24"/>
      <c r="E239" s="24"/>
      <c r="F239" s="24"/>
      <c r="G239" s="24"/>
      <c r="H239" s="35"/>
      <c r="I239" s="35"/>
      <c r="J239" s="46"/>
      <c r="K239" s="24"/>
    </row>
    <row r="240" spans="1:11" x14ac:dyDescent="0.35">
      <c r="A240" s="46"/>
      <c r="B240" s="35"/>
      <c r="C240" s="35"/>
      <c r="D240" s="24"/>
      <c r="E240" s="24"/>
      <c r="F240" s="24"/>
      <c r="G240" s="24"/>
      <c r="H240" s="35"/>
      <c r="I240" s="35"/>
      <c r="J240" s="46"/>
      <c r="K240" s="24"/>
    </row>
    <row r="241" spans="1:11" x14ac:dyDescent="0.35">
      <c r="A241" s="46"/>
      <c r="B241" s="35"/>
      <c r="C241" s="35"/>
      <c r="D241" s="24"/>
      <c r="E241" s="24"/>
      <c r="F241" s="24"/>
      <c r="G241" s="24"/>
      <c r="H241" s="35"/>
      <c r="I241" s="35"/>
      <c r="J241" s="46"/>
      <c r="K241" s="24"/>
    </row>
    <row r="242" spans="1:11" x14ac:dyDescent="0.35">
      <c r="A242" s="46"/>
      <c r="B242" s="35"/>
      <c r="C242" s="35"/>
      <c r="D242" s="24"/>
      <c r="E242" s="24"/>
      <c r="F242" s="24"/>
      <c r="G242" s="24"/>
      <c r="H242" s="35"/>
      <c r="I242" s="35"/>
      <c r="J242" s="46"/>
      <c r="K242" s="24"/>
    </row>
    <row r="243" spans="1:11" x14ac:dyDescent="0.35">
      <c r="A243" s="46"/>
      <c r="B243" s="35"/>
      <c r="C243" s="35"/>
      <c r="D243" s="24"/>
      <c r="E243" s="24"/>
      <c r="F243" s="24"/>
      <c r="G243" s="24"/>
      <c r="H243" s="35"/>
      <c r="I243" s="35"/>
      <c r="J243" s="46"/>
      <c r="K243" s="24"/>
    </row>
    <row r="244" spans="1:11" x14ac:dyDescent="0.35">
      <c r="A244" s="46"/>
      <c r="B244" s="35"/>
      <c r="C244" s="35"/>
      <c r="D244" s="24"/>
      <c r="E244" s="24"/>
      <c r="F244" s="24"/>
      <c r="G244" s="24"/>
      <c r="H244" s="35"/>
      <c r="I244" s="35"/>
      <c r="J244" s="46"/>
      <c r="K244" s="24"/>
    </row>
    <row r="245" spans="1:11" x14ac:dyDescent="0.35">
      <c r="A245" s="46"/>
      <c r="B245" s="35"/>
      <c r="C245" s="35"/>
      <c r="D245" s="24"/>
      <c r="E245" s="24"/>
      <c r="F245" s="24"/>
      <c r="G245" s="24"/>
      <c r="H245" s="35"/>
      <c r="I245" s="35"/>
      <c r="J245" s="46"/>
      <c r="K245" s="24"/>
    </row>
    <row r="246" spans="1:11" x14ac:dyDescent="0.35">
      <c r="A246" s="46"/>
      <c r="B246" s="35"/>
      <c r="C246" s="35"/>
      <c r="D246" s="24"/>
      <c r="E246" s="24"/>
      <c r="F246" s="24"/>
      <c r="G246" s="24"/>
      <c r="H246" s="35"/>
      <c r="I246" s="35"/>
      <c r="J246" s="46"/>
      <c r="K246" s="24"/>
    </row>
    <row r="247" spans="1:11" x14ac:dyDescent="0.35">
      <c r="A247" s="46"/>
      <c r="B247" s="35"/>
      <c r="C247" s="35"/>
      <c r="D247" s="24"/>
      <c r="E247" s="24"/>
      <c r="F247" s="24"/>
      <c r="G247" s="24"/>
      <c r="H247" s="35"/>
      <c r="I247" s="35"/>
      <c r="J247" s="46"/>
      <c r="K247" s="24"/>
    </row>
    <row r="248" spans="1:11" x14ac:dyDescent="0.35">
      <c r="A248" s="46"/>
      <c r="B248" s="35"/>
      <c r="C248" s="35"/>
      <c r="D248" s="24"/>
      <c r="E248" s="24"/>
      <c r="F248" s="24"/>
      <c r="G248" s="24"/>
      <c r="H248" s="35"/>
      <c r="I248" s="35"/>
      <c r="J248" s="46"/>
      <c r="K248" s="24"/>
    </row>
    <row r="249" spans="1:11" x14ac:dyDescent="0.35">
      <c r="A249" s="46"/>
      <c r="B249" s="35"/>
      <c r="C249" s="35"/>
      <c r="D249" s="24"/>
      <c r="E249" s="24"/>
      <c r="F249" s="24"/>
      <c r="G249" s="24"/>
      <c r="H249" s="35"/>
      <c r="I249" s="35"/>
      <c r="J249" s="46"/>
      <c r="K249" s="24"/>
    </row>
    <row r="250" spans="1:11" x14ac:dyDescent="0.35">
      <c r="A250" s="46"/>
      <c r="B250" s="35"/>
      <c r="C250" s="35"/>
      <c r="D250" s="24"/>
      <c r="E250" s="24"/>
      <c r="F250" s="24"/>
      <c r="G250" s="24"/>
      <c r="H250" s="35"/>
      <c r="I250" s="35"/>
      <c r="J250" s="46"/>
      <c r="K250" s="24"/>
    </row>
    <row r="251" spans="1:11" x14ac:dyDescent="0.35">
      <c r="A251" s="46"/>
      <c r="B251" s="35"/>
      <c r="C251" s="35"/>
      <c r="D251" s="24"/>
      <c r="E251" s="24"/>
      <c r="F251" s="24"/>
      <c r="G251" s="24"/>
      <c r="H251" s="35"/>
      <c r="I251" s="35"/>
      <c r="J251" s="46"/>
      <c r="K251" s="24"/>
    </row>
    <row r="252" spans="1:11" x14ac:dyDescent="0.35">
      <c r="A252" s="46"/>
      <c r="B252" s="35"/>
      <c r="C252" s="35"/>
      <c r="D252" s="24"/>
      <c r="E252" s="24"/>
      <c r="F252" s="24"/>
      <c r="G252" s="24"/>
      <c r="H252" s="35"/>
      <c r="I252" s="35"/>
      <c r="J252" s="46"/>
      <c r="K252" s="24"/>
    </row>
    <row r="253" spans="1:11" x14ac:dyDescent="0.35">
      <c r="A253" s="46"/>
      <c r="B253" s="35"/>
      <c r="C253" s="35"/>
      <c r="D253" s="24"/>
      <c r="E253" s="24"/>
      <c r="F253" s="24"/>
      <c r="G253" s="24"/>
      <c r="H253" s="35"/>
      <c r="I253" s="35"/>
      <c r="J253" s="46"/>
      <c r="K253" s="24"/>
    </row>
    <row r="254" spans="1:11" x14ac:dyDescent="0.35">
      <c r="A254" s="46"/>
      <c r="B254" s="35"/>
      <c r="C254" s="35"/>
      <c r="D254" s="24"/>
      <c r="E254" s="24"/>
      <c r="F254" s="24"/>
      <c r="G254" s="24"/>
      <c r="H254" s="35"/>
      <c r="I254" s="35"/>
      <c r="J254" s="46"/>
      <c r="K254" s="24"/>
    </row>
    <row r="255" spans="1:11" x14ac:dyDescent="0.35">
      <c r="A255" s="46"/>
      <c r="B255" s="35"/>
      <c r="C255" s="35"/>
      <c r="D255" s="24"/>
      <c r="E255" s="24"/>
      <c r="F255" s="24"/>
      <c r="G255" s="24"/>
      <c r="H255" s="35"/>
      <c r="I255" s="35"/>
      <c r="J255" s="46"/>
      <c r="K255" s="24"/>
    </row>
    <row r="256" spans="1:11" x14ac:dyDescent="0.35">
      <c r="A256" s="46"/>
      <c r="B256" s="35"/>
      <c r="C256" s="35"/>
      <c r="D256" s="24"/>
      <c r="E256" s="24"/>
      <c r="F256" s="24"/>
      <c r="G256" s="24"/>
      <c r="H256" s="35"/>
      <c r="I256" s="35"/>
      <c r="J256" s="46"/>
      <c r="K256" s="24"/>
    </row>
    <row r="257" spans="1:11" x14ac:dyDescent="0.35">
      <c r="A257" s="46"/>
      <c r="B257" s="35"/>
      <c r="C257" s="35"/>
      <c r="D257" s="24"/>
      <c r="E257" s="24"/>
      <c r="F257" s="24"/>
      <c r="G257" s="24"/>
      <c r="H257" s="35"/>
      <c r="I257" s="35"/>
      <c r="J257" s="46"/>
      <c r="K257" s="24"/>
    </row>
    <row r="258" spans="1:11" x14ac:dyDescent="0.35">
      <c r="A258" s="46"/>
      <c r="B258" s="35"/>
      <c r="C258" s="35"/>
      <c r="D258" s="24"/>
      <c r="E258" s="24"/>
      <c r="F258" s="24"/>
      <c r="G258" s="24"/>
      <c r="H258" s="35"/>
      <c r="I258" s="35"/>
      <c r="J258" s="46"/>
      <c r="K258" s="24"/>
    </row>
    <row r="259" spans="1:11" x14ac:dyDescent="0.35">
      <c r="A259" s="46"/>
      <c r="B259" s="35"/>
      <c r="C259" s="35"/>
      <c r="D259" s="24"/>
      <c r="E259" s="24"/>
      <c r="F259" s="24"/>
      <c r="G259" s="24"/>
      <c r="H259" s="35"/>
      <c r="I259" s="35"/>
      <c r="J259" s="46"/>
      <c r="K259" s="24"/>
    </row>
    <row r="260" spans="1:11" x14ac:dyDescent="0.35">
      <c r="A260" s="46"/>
      <c r="B260" s="35"/>
      <c r="C260" s="35"/>
      <c r="D260" s="24"/>
      <c r="E260" s="24"/>
      <c r="F260" s="24"/>
      <c r="G260" s="24"/>
      <c r="H260" s="35"/>
      <c r="I260" s="35"/>
      <c r="J260" s="46"/>
      <c r="K260" s="24"/>
    </row>
    <row r="261" spans="1:11" x14ac:dyDescent="0.35">
      <c r="A261" s="46"/>
      <c r="B261" s="35"/>
      <c r="C261" s="35"/>
      <c r="D261" s="24"/>
      <c r="E261" s="24"/>
      <c r="F261" s="24"/>
      <c r="G261" s="24"/>
      <c r="H261" s="35"/>
      <c r="I261" s="35"/>
      <c r="J261" s="46"/>
      <c r="K261" s="24"/>
    </row>
    <row r="262" spans="1:11" x14ac:dyDescent="0.35">
      <c r="A262" s="46"/>
      <c r="B262" s="35"/>
      <c r="C262" s="35"/>
      <c r="D262" s="24"/>
      <c r="E262" s="24"/>
      <c r="F262" s="24"/>
      <c r="G262" s="24"/>
      <c r="H262" s="35"/>
      <c r="I262" s="35"/>
      <c r="J262" s="46"/>
      <c r="K262" s="24"/>
    </row>
    <row r="263" spans="1:11" x14ac:dyDescent="0.35">
      <c r="A263" s="46"/>
      <c r="B263" s="35"/>
      <c r="C263" s="35"/>
      <c r="D263" s="24"/>
      <c r="E263" s="24"/>
      <c r="F263" s="24"/>
      <c r="G263" s="24"/>
      <c r="H263" s="35"/>
      <c r="I263" s="35"/>
      <c r="J263" s="46"/>
      <c r="K263" s="24"/>
    </row>
    <row r="264" spans="1:11" x14ac:dyDescent="0.35">
      <c r="A264" s="46"/>
      <c r="B264" s="35"/>
      <c r="C264" s="35"/>
      <c r="D264" s="24"/>
      <c r="E264" s="24"/>
      <c r="F264" s="24"/>
      <c r="G264" s="24"/>
      <c r="H264" s="35"/>
      <c r="I264" s="35"/>
      <c r="J264" s="46"/>
      <c r="K264" s="24"/>
    </row>
    <row r="265" spans="1:11" x14ac:dyDescent="0.35">
      <c r="A265" s="46"/>
      <c r="B265" s="35"/>
      <c r="C265" s="35"/>
      <c r="D265" s="24"/>
      <c r="E265" s="24"/>
      <c r="F265" s="24"/>
      <c r="G265" s="24"/>
      <c r="H265" s="35"/>
      <c r="I265" s="35"/>
      <c r="J265" s="46"/>
      <c r="K265" s="24"/>
    </row>
    <row r="266" spans="1:11" x14ac:dyDescent="0.35">
      <c r="A266" s="46"/>
      <c r="B266" s="35"/>
      <c r="C266" s="35"/>
      <c r="D266" s="24"/>
      <c r="E266" s="24"/>
      <c r="F266" s="24"/>
      <c r="G266" s="24"/>
      <c r="H266" s="35"/>
      <c r="I266" s="35"/>
      <c r="J266" s="46"/>
      <c r="K266" s="24"/>
    </row>
    <row r="267" spans="1:11" x14ac:dyDescent="0.35">
      <c r="A267" s="46"/>
      <c r="B267" s="35"/>
      <c r="C267" s="35"/>
      <c r="D267" s="24"/>
      <c r="E267" s="24"/>
      <c r="F267" s="24"/>
      <c r="G267" s="24"/>
      <c r="H267" s="35"/>
      <c r="I267" s="35"/>
      <c r="J267" s="46"/>
      <c r="K267" s="24"/>
    </row>
    <row r="268" spans="1:11" x14ac:dyDescent="0.35">
      <c r="A268" s="46"/>
      <c r="B268" s="35"/>
      <c r="C268" s="35"/>
      <c r="D268" s="24"/>
      <c r="E268" s="24"/>
      <c r="F268" s="24"/>
      <c r="G268" s="24"/>
      <c r="H268" s="35"/>
      <c r="I268" s="35"/>
      <c r="J268" s="46"/>
      <c r="K268" s="24"/>
    </row>
    <row r="269" spans="1:11" x14ac:dyDescent="0.35">
      <c r="A269" s="46"/>
      <c r="B269" s="35"/>
      <c r="C269" s="35"/>
      <c r="D269" s="24"/>
      <c r="E269" s="24"/>
      <c r="F269" s="24"/>
      <c r="G269" s="24"/>
      <c r="H269" s="35"/>
      <c r="I269" s="35"/>
      <c r="J269" s="46"/>
      <c r="K269" s="24"/>
    </row>
    <row r="270" spans="1:11" x14ac:dyDescent="0.35">
      <c r="A270" s="46"/>
      <c r="B270" s="35"/>
      <c r="C270" s="35"/>
      <c r="D270" s="24"/>
      <c r="E270" s="24"/>
      <c r="F270" s="24"/>
      <c r="G270" s="24"/>
      <c r="H270" s="35"/>
      <c r="I270" s="35"/>
      <c r="J270" s="46"/>
      <c r="K270" s="24"/>
    </row>
    <row r="271" spans="1:11" x14ac:dyDescent="0.35">
      <c r="A271" s="46"/>
      <c r="B271" s="35"/>
      <c r="C271" s="35"/>
      <c r="D271" s="24"/>
      <c r="E271" s="24"/>
      <c r="F271" s="24"/>
      <c r="G271" s="24"/>
      <c r="H271" s="35"/>
      <c r="I271" s="35"/>
      <c r="J271" s="46"/>
      <c r="K271" s="24"/>
    </row>
    <row r="272" spans="1:11" x14ac:dyDescent="0.35">
      <c r="A272" s="46"/>
      <c r="B272" s="35"/>
      <c r="C272" s="35"/>
      <c r="D272" s="24"/>
      <c r="E272" s="24"/>
      <c r="F272" s="24"/>
      <c r="G272" s="24"/>
      <c r="H272" s="35"/>
      <c r="I272" s="35"/>
      <c r="J272" s="46"/>
      <c r="K272" s="24"/>
    </row>
    <row r="273" spans="1:11" x14ac:dyDescent="0.35">
      <c r="A273" s="46"/>
      <c r="B273" s="35"/>
      <c r="C273" s="35"/>
      <c r="D273" s="24"/>
      <c r="E273" s="24"/>
      <c r="F273" s="24"/>
      <c r="G273" s="24"/>
      <c r="H273" s="35"/>
      <c r="I273" s="35"/>
      <c r="J273" s="46"/>
      <c r="K273" s="24"/>
    </row>
    <row r="274" spans="1:11" x14ac:dyDescent="0.35">
      <c r="A274" s="46"/>
      <c r="B274" s="35"/>
      <c r="C274" s="35"/>
      <c r="D274" s="24"/>
      <c r="E274" s="24"/>
      <c r="F274" s="24"/>
      <c r="G274" s="24"/>
      <c r="H274" s="35"/>
      <c r="I274" s="35"/>
      <c r="J274" s="46"/>
      <c r="K274" s="24"/>
    </row>
    <row r="275" spans="1:11" x14ac:dyDescent="0.35">
      <c r="A275" s="46"/>
      <c r="B275" s="35"/>
      <c r="C275" s="35"/>
      <c r="D275" s="24"/>
      <c r="E275" s="24"/>
      <c r="F275" s="24"/>
      <c r="G275" s="24"/>
      <c r="H275" s="35"/>
      <c r="I275" s="35"/>
      <c r="J275" s="46"/>
      <c r="K275" s="24"/>
    </row>
    <row r="276" spans="1:11" x14ac:dyDescent="0.35">
      <c r="A276" s="46"/>
      <c r="B276" s="35"/>
      <c r="C276" s="35"/>
      <c r="D276" s="24"/>
      <c r="E276" s="24"/>
      <c r="F276" s="24"/>
      <c r="G276" s="24"/>
      <c r="H276" s="35"/>
      <c r="I276" s="35"/>
      <c r="J276" s="46"/>
      <c r="K276" s="24"/>
    </row>
    <row r="277" spans="1:11" x14ac:dyDescent="0.35">
      <c r="A277" s="46"/>
      <c r="B277" s="35"/>
      <c r="C277" s="35"/>
      <c r="D277" s="24"/>
      <c r="E277" s="24"/>
      <c r="F277" s="24"/>
      <c r="G277" s="24"/>
      <c r="H277" s="35"/>
      <c r="I277" s="35"/>
      <c r="J277" s="46"/>
      <c r="K277" s="24"/>
    </row>
    <row r="278" spans="1:11" x14ac:dyDescent="0.35">
      <c r="A278" s="46"/>
      <c r="B278" s="35"/>
      <c r="C278" s="35"/>
      <c r="D278" s="24"/>
      <c r="E278" s="24"/>
      <c r="F278" s="24"/>
      <c r="G278" s="24"/>
      <c r="H278" s="35"/>
      <c r="I278" s="35"/>
      <c r="J278" s="46"/>
      <c r="K278" s="24"/>
    </row>
    <row r="279" spans="1:11" x14ac:dyDescent="0.35">
      <c r="A279" s="46"/>
      <c r="B279" s="35"/>
      <c r="C279" s="35"/>
      <c r="D279" s="24"/>
      <c r="E279" s="24"/>
      <c r="F279" s="24"/>
      <c r="G279" s="24"/>
      <c r="H279" s="35"/>
      <c r="I279" s="35"/>
      <c r="J279" s="46"/>
      <c r="K279" s="24"/>
    </row>
    <row r="280" spans="1:11" x14ac:dyDescent="0.35">
      <c r="A280" s="46"/>
      <c r="B280" s="35"/>
      <c r="C280" s="35"/>
      <c r="D280" s="24"/>
      <c r="E280" s="24"/>
      <c r="F280" s="24"/>
      <c r="G280" s="24"/>
      <c r="H280" s="35"/>
      <c r="I280" s="35"/>
      <c r="J280" s="46"/>
      <c r="K280" s="24"/>
    </row>
    <row r="281" spans="1:11" x14ac:dyDescent="0.35">
      <c r="A281" s="46"/>
      <c r="B281" s="35"/>
      <c r="C281" s="35"/>
      <c r="D281" s="24"/>
      <c r="E281" s="24"/>
      <c r="F281" s="24"/>
      <c r="G281" s="24"/>
      <c r="H281" s="35"/>
      <c r="I281" s="35"/>
      <c r="J281" s="46"/>
      <c r="K281" s="24"/>
    </row>
    <row r="282" spans="1:11" x14ac:dyDescent="0.35">
      <c r="A282" s="46"/>
      <c r="B282" s="35"/>
      <c r="C282" s="35"/>
      <c r="D282" s="24"/>
      <c r="E282" s="24"/>
      <c r="F282" s="24"/>
      <c r="G282" s="24"/>
      <c r="H282" s="35"/>
      <c r="I282" s="35"/>
      <c r="J282" s="46"/>
      <c r="K282" s="24"/>
    </row>
    <row r="283" spans="1:11" x14ac:dyDescent="0.35">
      <c r="A283" s="46"/>
      <c r="B283" s="35"/>
      <c r="C283" s="35"/>
      <c r="D283" s="24"/>
      <c r="E283" s="24"/>
      <c r="F283" s="24"/>
      <c r="G283" s="24"/>
      <c r="H283" s="35"/>
      <c r="I283" s="35"/>
      <c r="J283" s="46"/>
      <c r="K283" s="24"/>
    </row>
    <row r="284" spans="1:11" x14ac:dyDescent="0.35">
      <c r="A284" s="46"/>
      <c r="B284" s="35"/>
      <c r="C284" s="35"/>
      <c r="D284" s="24"/>
      <c r="E284" s="24"/>
      <c r="F284" s="24"/>
      <c r="G284" s="24"/>
      <c r="H284" s="35"/>
      <c r="I284" s="35"/>
      <c r="J284" s="46"/>
      <c r="K284" s="24"/>
    </row>
    <row r="285" spans="1:11" x14ac:dyDescent="0.35">
      <c r="A285" s="46"/>
      <c r="B285" s="35"/>
      <c r="C285" s="35"/>
      <c r="D285" s="24"/>
      <c r="E285" s="24"/>
      <c r="F285" s="24"/>
      <c r="G285" s="24"/>
      <c r="H285" s="35"/>
      <c r="I285" s="35"/>
      <c r="J285" s="46"/>
      <c r="K285" s="24"/>
    </row>
    <row r="286" spans="1:11" x14ac:dyDescent="0.35">
      <c r="A286" s="46"/>
      <c r="B286" s="35"/>
      <c r="C286" s="35"/>
      <c r="D286" s="24"/>
      <c r="E286" s="24"/>
      <c r="F286" s="24"/>
      <c r="G286" s="24"/>
      <c r="H286" s="35"/>
      <c r="I286" s="35"/>
      <c r="J286" s="46"/>
      <c r="K286" s="24"/>
    </row>
    <row r="287" spans="1:11" x14ac:dyDescent="0.35">
      <c r="A287" s="46"/>
      <c r="B287" s="35"/>
      <c r="C287" s="35"/>
      <c r="D287" s="24"/>
      <c r="E287" s="24"/>
      <c r="F287" s="24"/>
      <c r="G287" s="24"/>
      <c r="H287" s="35"/>
      <c r="I287" s="35"/>
      <c r="J287" s="46"/>
      <c r="K287" s="24"/>
    </row>
    <row r="288" spans="1:11" x14ac:dyDescent="0.35">
      <c r="A288" s="46"/>
      <c r="B288" s="35"/>
      <c r="C288" s="35"/>
      <c r="D288" s="24"/>
      <c r="E288" s="24"/>
      <c r="F288" s="24"/>
      <c r="G288" s="24"/>
      <c r="H288" s="35"/>
      <c r="I288" s="35"/>
      <c r="J288" s="46"/>
      <c r="K288" s="24"/>
    </row>
    <row r="289" spans="1:11" x14ac:dyDescent="0.35">
      <c r="A289" s="46"/>
      <c r="B289" s="35"/>
      <c r="C289" s="35"/>
      <c r="D289" s="24"/>
      <c r="E289" s="24"/>
      <c r="F289" s="24"/>
      <c r="G289" s="24"/>
      <c r="H289" s="35"/>
      <c r="I289" s="35"/>
      <c r="J289" s="46"/>
      <c r="K289" s="24"/>
    </row>
    <row r="290" spans="1:11" x14ac:dyDescent="0.35">
      <c r="A290" s="46"/>
      <c r="B290" s="35"/>
      <c r="C290" s="35"/>
      <c r="D290" s="24"/>
      <c r="E290" s="24"/>
      <c r="F290" s="24"/>
      <c r="G290" s="24"/>
      <c r="H290" s="35"/>
      <c r="I290" s="35"/>
      <c r="J290" s="46"/>
      <c r="K290" s="24"/>
    </row>
    <row r="291" spans="1:11" x14ac:dyDescent="0.35">
      <c r="A291" s="46"/>
      <c r="B291" s="35"/>
      <c r="C291" s="35"/>
      <c r="D291" s="24"/>
      <c r="E291" s="24"/>
      <c r="F291" s="24"/>
      <c r="G291" s="24"/>
      <c r="H291" s="35"/>
      <c r="I291" s="35"/>
      <c r="J291" s="46"/>
      <c r="K291" s="24"/>
    </row>
    <row r="292" spans="1:11" x14ac:dyDescent="0.35">
      <c r="A292" s="46"/>
      <c r="B292" s="35"/>
      <c r="C292" s="35"/>
      <c r="D292" s="24"/>
      <c r="E292" s="24"/>
      <c r="F292" s="24"/>
      <c r="G292" s="24"/>
      <c r="H292" s="35"/>
      <c r="I292" s="35"/>
      <c r="J292" s="46"/>
      <c r="K292" s="24"/>
    </row>
    <row r="293" spans="1:11" x14ac:dyDescent="0.35">
      <c r="A293" s="46"/>
      <c r="B293" s="35"/>
      <c r="C293" s="35"/>
      <c r="D293" s="24"/>
      <c r="E293" s="24"/>
      <c r="F293" s="24"/>
      <c r="G293" s="24"/>
      <c r="H293" s="35"/>
      <c r="I293" s="35"/>
      <c r="J293" s="46"/>
      <c r="K293" s="24"/>
    </row>
    <row r="294" spans="1:11" x14ac:dyDescent="0.35">
      <c r="A294" s="46"/>
      <c r="B294" s="35"/>
      <c r="C294" s="35"/>
      <c r="D294" s="24"/>
      <c r="E294" s="24"/>
      <c r="F294" s="24"/>
      <c r="G294" s="24"/>
      <c r="H294" s="35"/>
      <c r="I294" s="35"/>
      <c r="J294" s="46"/>
      <c r="K294" s="24"/>
    </row>
    <row r="295" spans="1:11" x14ac:dyDescent="0.35">
      <c r="A295" s="46"/>
      <c r="B295" s="35"/>
      <c r="C295" s="35"/>
      <c r="D295" s="24"/>
      <c r="E295" s="24"/>
      <c r="F295" s="24"/>
      <c r="G295" s="24"/>
      <c r="H295" s="35"/>
      <c r="I295" s="35"/>
      <c r="J295" s="46"/>
      <c r="K295" s="24"/>
    </row>
    <row r="296" spans="1:11" x14ac:dyDescent="0.35">
      <c r="A296" s="46"/>
      <c r="B296" s="35"/>
      <c r="C296" s="35"/>
      <c r="D296" s="24"/>
      <c r="E296" s="24"/>
      <c r="F296" s="24"/>
      <c r="G296" s="24"/>
      <c r="H296" s="35"/>
      <c r="I296" s="35"/>
      <c r="J296" s="46"/>
      <c r="K296" s="24"/>
    </row>
    <row r="297" spans="1:11" x14ac:dyDescent="0.35">
      <c r="A297" s="46"/>
      <c r="B297" s="35"/>
      <c r="C297" s="35"/>
      <c r="D297" s="24"/>
      <c r="E297" s="24"/>
      <c r="F297" s="24"/>
      <c r="G297" s="24"/>
      <c r="H297" s="35"/>
      <c r="I297" s="35"/>
      <c r="J297" s="46"/>
      <c r="K297" s="24"/>
    </row>
    <row r="298" spans="1:11" x14ac:dyDescent="0.35">
      <c r="A298" s="46"/>
      <c r="B298" s="35"/>
      <c r="C298" s="35"/>
      <c r="D298" s="24"/>
      <c r="E298" s="24"/>
      <c r="F298" s="24"/>
      <c r="G298" s="24"/>
      <c r="H298" s="35"/>
      <c r="I298" s="35"/>
      <c r="J298" s="46"/>
      <c r="K298" s="24"/>
    </row>
    <row r="299" spans="1:11" x14ac:dyDescent="0.35">
      <c r="A299" s="46"/>
      <c r="B299" s="35"/>
      <c r="C299" s="35"/>
      <c r="D299" s="24"/>
      <c r="E299" s="24"/>
      <c r="F299" s="24"/>
      <c r="G299" s="24"/>
      <c r="H299" s="35"/>
      <c r="I299" s="35"/>
      <c r="J299" s="46"/>
      <c r="K299" s="24"/>
    </row>
    <row r="300" spans="1:11" x14ac:dyDescent="0.35">
      <c r="A300" s="46"/>
      <c r="B300" s="35"/>
      <c r="C300" s="35"/>
      <c r="D300" s="24"/>
      <c r="E300" s="24"/>
      <c r="F300" s="24"/>
      <c r="G300" s="24"/>
      <c r="H300" s="35"/>
      <c r="I300" s="35"/>
      <c r="J300" s="46"/>
      <c r="K300" s="24"/>
    </row>
    <row r="301" spans="1:11" x14ac:dyDescent="0.35">
      <c r="A301" s="46"/>
      <c r="B301" s="35"/>
      <c r="C301" s="35"/>
      <c r="D301" s="24"/>
      <c r="E301" s="24"/>
      <c r="F301" s="24"/>
      <c r="G301" s="24"/>
      <c r="H301" s="35"/>
      <c r="I301" s="35"/>
      <c r="J301" s="46"/>
      <c r="K301" s="24"/>
    </row>
    <row r="302" spans="1:11" x14ac:dyDescent="0.35">
      <c r="A302" s="46"/>
      <c r="B302" s="35"/>
      <c r="C302" s="35"/>
      <c r="D302" s="24"/>
      <c r="E302" s="24"/>
      <c r="F302" s="24"/>
      <c r="G302" s="24"/>
      <c r="H302" s="35"/>
      <c r="I302" s="35"/>
      <c r="J302" s="46"/>
      <c r="K302" s="24"/>
    </row>
    <row r="303" spans="1:11" x14ac:dyDescent="0.35">
      <c r="A303" s="46"/>
      <c r="B303" s="35"/>
      <c r="C303" s="35"/>
      <c r="D303" s="24"/>
      <c r="E303" s="24"/>
      <c r="F303" s="24"/>
      <c r="G303" s="24"/>
      <c r="H303" s="35"/>
      <c r="I303" s="35"/>
      <c r="J303" s="46"/>
      <c r="K303" s="24"/>
    </row>
    <row r="304" spans="1:11" x14ac:dyDescent="0.35">
      <c r="A304" s="46"/>
      <c r="B304" s="35"/>
      <c r="C304" s="35"/>
      <c r="D304" s="24"/>
      <c r="E304" s="24"/>
      <c r="F304" s="24"/>
      <c r="G304" s="24"/>
      <c r="H304" s="35"/>
      <c r="I304" s="35"/>
      <c r="J304" s="46"/>
      <c r="K304" s="24"/>
    </row>
    <row r="305" spans="1:11" x14ac:dyDescent="0.35">
      <c r="A305" s="46"/>
      <c r="B305" s="35"/>
      <c r="C305" s="35"/>
      <c r="D305" s="24"/>
      <c r="E305" s="24"/>
      <c r="F305" s="24"/>
      <c r="G305" s="24"/>
      <c r="H305" s="35"/>
      <c r="I305" s="35"/>
      <c r="J305" s="46"/>
      <c r="K305" s="24"/>
    </row>
    <row r="306" spans="1:11" x14ac:dyDescent="0.35">
      <c r="A306" s="46"/>
      <c r="B306" s="35"/>
      <c r="C306" s="35"/>
      <c r="D306" s="24"/>
      <c r="E306" s="24"/>
      <c r="F306" s="24"/>
      <c r="G306" s="24"/>
      <c r="H306" s="35"/>
      <c r="I306" s="35"/>
      <c r="J306" s="46"/>
      <c r="K306" s="24"/>
    </row>
    <row r="307" spans="1:11" x14ac:dyDescent="0.35">
      <c r="A307" s="46"/>
      <c r="B307" s="35"/>
      <c r="C307" s="35"/>
      <c r="D307" s="24"/>
      <c r="E307" s="24"/>
      <c r="F307" s="24"/>
      <c r="G307" s="24"/>
      <c r="H307" s="35"/>
      <c r="I307" s="35"/>
      <c r="J307" s="46"/>
      <c r="K307" s="24"/>
    </row>
    <row r="308" spans="1:11" x14ac:dyDescent="0.35">
      <c r="A308" s="46"/>
      <c r="B308" s="35"/>
      <c r="C308" s="35"/>
      <c r="D308" s="24"/>
      <c r="E308" s="24"/>
      <c r="F308" s="24"/>
      <c r="G308" s="24"/>
      <c r="H308" s="35"/>
      <c r="I308" s="35"/>
      <c r="J308" s="46"/>
      <c r="K308" s="24"/>
    </row>
    <row r="309" spans="1:11" x14ac:dyDescent="0.35">
      <c r="A309" s="46"/>
      <c r="B309" s="35"/>
      <c r="C309" s="35"/>
      <c r="D309" s="24"/>
      <c r="E309" s="24"/>
      <c r="F309" s="24"/>
      <c r="G309" s="24"/>
      <c r="H309" s="35"/>
      <c r="I309" s="35"/>
      <c r="J309" s="46"/>
      <c r="K309" s="24"/>
    </row>
    <row r="310" spans="1:11" x14ac:dyDescent="0.35">
      <c r="A310" s="46"/>
      <c r="B310" s="35"/>
      <c r="C310" s="35"/>
      <c r="D310" s="24"/>
      <c r="E310" s="24"/>
      <c r="F310" s="24"/>
      <c r="G310" s="24"/>
      <c r="H310" s="35"/>
      <c r="I310" s="35"/>
      <c r="J310" s="46"/>
      <c r="K310" s="24"/>
    </row>
    <row r="311" spans="1:11" x14ac:dyDescent="0.35">
      <c r="A311" s="46"/>
      <c r="B311" s="35"/>
      <c r="C311" s="35"/>
      <c r="D311" s="24"/>
      <c r="E311" s="24"/>
      <c r="F311" s="24"/>
      <c r="G311" s="24"/>
      <c r="H311" s="35"/>
      <c r="I311" s="35"/>
      <c r="J311" s="46"/>
      <c r="K311" s="24"/>
    </row>
    <row r="312" spans="1:11" x14ac:dyDescent="0.35">
      <c r="A312" s="46"/>
      <c r="B312" s="35"/>
      <c r="C312" s="35"/>
      <c r="D312" s="24"/>
      <c r="E312" s="24"/>
      <c r="F312" s="24"/>
      <c r="G312" s="24"/>
      <c r="H312" s="35"/>
      <c r="I312" s="35"/>
      <c r="J312" s="46"/>
      <c r="K312" s="24"/>
    </row>
    <row r="313" spans="1:11" x14ac:dyDescent="0.35">
      <c r="A313" s="46"/>
      <c r="B313" s="35"/>
      <c r="C313" s="35"/>
      <c r="D313" s="24"/>
      <c r="E313" s="24"/>
      <c r="F313" s="24"/>
      <c r="G313" s="24"/>
      <c r="H313" s="35"/>
      <c r="I313" s="35"/>
      <c r="J313" s="46"/>
      <c r="K313" s="24"/>
    </row>
    <row r="314" spans="1:11" x14ac:dyDescent="0.35">
      <c r="A314" s="46"/>
      <c r="B314" s="35"/>
      <c r="C314" s="35"/>
      <c r="D314" s="24"/>
      <c r="E314" s="24"/>
      <c r="F314" s="24"/>
      <c r="G314" s="24"/>
      <c r="H314" s="35"/>
      <c r="I314" s="35"/>
      <c r="J314" s="46"/>
      <c r="K314" s="24"/>
    </row>
    <row r="315" spans="1:11" x14ac:dyDescent="0.35">
      <c r="A315" s="46"/>
      <c r="B315" s="35"/>
      <c r="C315" s="35"/>
      <c r="D315" s="24"/>
      <c r="E315" s="24"/>
      <c r="F315" s="24"/>
      <c r="G315" s="24"/>
      <c r="H315" s="35"/>
      <c r="I315" s="35"/>
      <c r="J315" s="46"/>
      <c r="K315" s="24"/>
    </row>
    <row r="316" spans="1:11" x14ac:dyDescent="0.35">
      <c r="A316" s="46"/>
      <c r="B316" s="35"/>
      <c r="C316" s="35"/>
      <c r="D316" s="24"/>
      <c r="E316" s="24"/>
      <c r="F316" s="24"/>
      <c r="G316" s="24"/>
      <c r="H316" s="35"/>
      <c r="I316" s="35"/>
      <c r="J316" s="46"/>
      <c r="K316" s="24"/>
    </row>
    <row r="317" spans="1:11" x14ac:dyDescent="0.35">
      <c r="A317" s="46"/>
      <c r="B317" s="35"/>
      <c r="C317" s="35"/>
      <c r="D317" s="24"/>
      <c r="E317" s="24"/>
      <c r="F317" s="24"/>
      <c r="G317" s="24"/>
      <c r="H317" s="35"/>
      <c r="I317" s="35"/>
      <c r="J317" s="46"/>
      <c r="K317" s="24"/>
    </row>
    <row r="318" spans="1:11" x14ac:dyDescent="0.35">
      <c r="A318" s="46"/>
      <c r="B318" s="35"/>
      <c r="C318" s="35"/>
      <c r="D318" s="24"/>
      <c r="E318" s="24"/>
      <c r="F318" s="24"/>
      <c r="G318" s="24"/>
      <c r="H318" s="35"/>
      <c r="I318" s="35"/>
      <c r="J318" s="46"/>
      <c r="K318" s="24"/>
    </row>
    <row r="319" spans="1:11" x14ac:dyDescent="0.35">
      <c r="A319" s="46"/>
      <c r="B319" s="35"/>
      <c r="C319" s="35"/>
      <c r="D319" s="24"/>
      <c r="E319" s="24"/>
      <c r="F319" s="24"/>
      <c r="G319" s="24"/>
      <c r="H319" s="35"/>
      <c r="I319" s="35"/>
      <c r="J319" s="46"/>
      <c r="K319" s="24"/>
    </row>
    <row r="320" spans="1:11" x14ac:dyDescent="0.35">
      <c r="A320" s="46"/>
      <c r="B320" s="35"/>
      <c r="C320" s="35"/>
      <c r="D320" s="24"/>
      <c r="E320" s="24"/>
      <c r="F320" s="24"/>
      <c r="G320" s="24"/>
      <c r="H320" s="35"/>
      <c r="I320" s="35"/>
      <c r="J320" s="46"/>
      <c r="K320" s="24"/>
    </row>
    <row r="321" spans="1:11" x14ac:dyDescent="0.35">
      <c r="A321" s="46"/>
      <c r="B321" s="35"/>
      <c r="C321" s="35"/>
      <c r="D321" s="24"/>
      <c r="E321" s="24"/>
      <c r="F321" s="24"/>
      <c r="G321" s="24"/>
      <c r="H321" s="35"/>
      <c r="I321" s="35"/>
      <c r="J321" s="46"/>
      <c r="K321" s="24"/>
    </row>
    <row r="322" spans="1:11" x14ac:dyDescent="0.35">
      <c r="A322" s="46"/>
      <c r="B322" s="35"/>
      <c r="C322" s="35"/>
      <c r="D322" s="24"/>
      <c r="E322" s="24"/>
      <c r="F322" s="24"/>
      <c r="G322" s="24"/>
      <c r="H322" s="35"/>
      <c r="I322" s="35"/>
      <c r="J322" s="46"/>
      <c r="K322" s="24"/>
    </row>
    <row r="323" spans="1:11" x14ac:dyDescent="0.35">
      <c r="A323" s="46"/>
      <c r="B323" s="35"/>
      <c r="C323" s="35"/>
      <c r="D323" s="24"/>
      <c r="E323" s="24"/>
      <c r="F323" s="24"/>
      <c r="G323" s="24"/>
      <c r="H323" s="35"/>
      <c r="I323" s="35"/>
      <c r="J323" s="46"/>
      <c r="K323" s="24"/>
    </row>
    <row r="324" spans="1:11" x14ac:dyDescent="0.35">
      <c r="A324" s="46"/>
      <c r="B324" s="35"/>
      <c r="C324" s="35"/>
      <c r="D324" s="24"/>
      <c r="E324" s="24"/>
      <c r="F324" s="24"/>
      <c r="G324" s="24"/>
      <c r="H324" s="35"/>
      <c r="I324" s="35"/>
      <c r="J324" s="46"/>
      <c r="K324" s="24"/>
    </row>
    <row r="325" spans="1:11" x14ac:dyDescent="0.35">
      <c r="A325" s="46"/>
      <c r="B325" s="35"/>
      <c r="C325" s="35"/>
      <c r="D325" s="24"/>
      <c r="E325" s="24"/>
      <c r="F325" s="24"/>
      <c r="G325" s="24"/>
      <c r="H325" s="35"/>
      <c r="I325" s="35"/>
      <c r="J325" s="46"/>
      <c r="K325" s="24"/>
    </row>
    <row r="326" spans="1:11" x14ac:dyDescent="0.35">
      <c r="A326" s="46"/>
      <c r="B326" s="35"/>
      <c r="C326" s="35"/>
      <c r="D326" s="24"/>
      <c r="E326" s="24"/>
      <c r="F326" s="24"/>
      <c r="G326" s="24"/>
      <c r="H326" s="35"/>
      <c r="I326" s="35"/>
      <c r="J326" s="46"/>
      <c r="K326" s="24"/>
    </row>
    <row r="327" spans="1:11" x14ac:dyDescent="0.35">
      <c r="A327" s="46"/>
      <c r="B327" s="35"/>
      <c r="C327" s="35"/>
      <c r="D327" s="24"/>
      <c r="E327" s="24"/>
      <c r="F327" s="24"/>
      <c r="G327" s="24"/>
      <c r="H327" s="35"/>
      <c r="I327" s="35"/>
      <c r="J327" s="46"/>
      <c r="K327" s="24"/>
    </row>
    <row r="328" spans="1:11" x14ac:dyDescent="0.35">
      <c r="A328" s="46"/>
      <c r="B328" s="35"/>
      <c r="C328" s="35"/>
      <c r="D328" s="24"/>
      <c r="E328" s="24"/>
      <c r="F328" s="24"/>
      <c r="G328" s="24"/>
      <c r="H328" s="35"/>
      <c r="I328" s="35"/>
      <c r="J328" s="46"/>
      <c r="K328" s="24"/>
    </row>
    <row r="329" spans="1:11" x14ac:dyDescent="0.35">
      <c r="A329" s="46"/>
      <c r="B329" s="35"/>
      <c r="C329" s="35"/>
      <c r="D329" s="24"/>
      <c r="E329" s="24"/>
      <c r="F329" s="24"/>
      <c r="G329" s="24"/>
      <c r="H329" s="35"/>
      <c r="I329" s="35"/>
      <c r="J329" s="46"/>
      <c r="K329" s="24"/>
    </row>
    <row r="330" spans="1:11" x14ac:dyDescent="0.35">
      <c r="A330" s="46"/>
      <c r="B330" s="35"/>
      <c r="C330" s="35"/>
      <c r="D330" s="24"/>
      <c r="E330" s="24"/>
      <c r="F330" s="24"/>
      <c r="G330" s="24"/>
      <c r="H330" s="35"/>
      <c r="I330" s="35"/>
      <c r="J330" s="46"/>
      <c r="K330" s="24"/>
    </row>
    <row r="331" spans="1:11" x14ac:dyDescent="0.35">
      <c r="A331" s="46"/>
      <c r="B331" s="35"/>
      <c r="C331" s="35"/>
      <c r="D331" s="24"/>
      <c r="E331" s="24"/>
      <c r="F331" s="24"/>
      <c r="G331" s="24"/>
      <c r="H331" s="35"/>
      <c r="I331" s="35"/>
      <c r="J331" s="46"/>
      <c r="K331" s="24"/>
    </row>
    <row r="332" spans="1:11" x14ac:dyDescent="0.35">
      <c r="A332" s="46"/>
      <c r="B332" s="35"/>
      <c r="C332" s="35"/>
      <c r="D332" s="24"/>
      <c r="E332" s="24"/>
      <c r="F332" s="24"/>
      <c r="G332" s="24"/>
      <c r="H332" s="35"/>
      <c r="I332" s="35"/>
      <c r="J332" s="46"/>
      <c r="K332" s="24"/>
    </row>
    <row r="333" spans="1:11" x14ac:dyDescent="0.35">
      <c r="A333" s="46"/>
      <c r="B333" s="35"/>
      <c r="C333" s="35"/>
      <c r="D333" s="24"/>
      <c r="E333" s="24"/>
      <c r="F333" s="24"/>
      <c r="G333" s="24"/>
      <c r="H333" s="35"/>
      <c r="I333" s="35"/>
      <c r="J333" s="46"/>
      <c r="K333" s="24"/>
    </row>
    <row r="334" spans="1:11" x14ac:dyDescent="0.35">
      <c r="A334" s="46"/>
      <c r="B334" s="35"/>
      <c r="C334" s="35"/>
      <c r="D334" s="24"/>
      <c r="E334" s="24"/>
      <c r="F334" s="24"/>
      <c r="G334" s="24"/>
      <c r="H334" s="35"/>
      <c r="I334" s="35"/>
      <c r="J334" s="46"/>
      <c r="K334" s="24"/>
    </row>
    <row r="335" spans="1:11" x14ac:dyDescent="0.35">
      <c r="A335" s="46"/>
      <c r="B335" s="35"/>
      <c r="C335" s="35"/>
      <c r="D335" s="24"/>
      <c r="E335" s="24"/>
      <c r="F335" s="24"/>
      <c r="G335" s="24"/>
      <c r="H335" s="35"/>
      <c r="I335" s="35"/>
      <c r="J335" s="46"/>
      <c r="K335" s="24"/>
    </row>
    <row r="336" spans="1:11" x14ac:dyDescent="0.35">
      <c r="A336" s="46"/>
      <c r="B336" s="35"/>
      <c r="C336" s="35"/>
      <c r="D336" s="24"/>
      <c r="E336" s="24"/>
      <c r="F336" s="24"/>
      <c r="G336" s="24"/>
      <c r="H336" s="35"/>
      <c r="I336" s="35"/>
      <c r="J336" s="46"/>
      <c r="K336" s="24"/>
    </row>
    <row r="337" spans="1:11" x14ac:dyDescent="0.35">
      <c r="A337" s="46"/>
      <c r="B337" s="35"/>
      <c r="C337" s="35"/>
      <c r="D337" s="24"/>
      <c r="E337" s="24"/>
      <c r="F337" s="24"/>
      <c r="G337" s="24"/>
      <c r="H337" s="35"/>
      <c r="I337" s="35"/>
      <c r="J337" s="46"/>
      <c r="K337" s="24"/>
    </row>
    <row r="338" spans="1:11" x14ac:dyDescent="0.35">
      <c r="A338" s="46"/>
      <c r="B338" s="35"/>
      <c r="C338" s="35"/>
      <c r="D338" s="24"/>
      <c r="E338" s="24"/>
      <c r="F338" s="24"/>
      <c r="G338" s="24"/>
      <c r="H338" s="35"/>
      <c r="I338" s="35"/>
      <c r="J338" s="46"/>
      <c r="K338" s="24"/>
    </row>
    <row r="339" spans="1:11" x14ac:dyDescent="0.35">
      <c r="A339" s="46"/>
      <c r="B339" s="35"/>
      <c r="C339" s="35"/>
      <c r="D339" s="24"/>
      <c r="E339" s="24"/>
      <c r="F339" s="24"/>
      <c r="G339" s="24"/>
      <c r="H339" s="35"/>
      <c r="I339" s="35"/>
      <c r="J339" s="46"/>
      <c r="K339" s="24"/>
    </row>
    <row r="340" spans="1:11" x14ac:dyDescent="0.35">
      <c r="A340" s="46"/>
      <c r="B340" s="35"/>
      <c r="C340" s="35"/>
      <c r="D340" s="24"/>
      <c r="E340" s="24"/>
      <c r="F340" s="24"/>
      <c r="G340" s="24"/>
      <c r="H340" s="35"/>
      <c r="I340" s="35"/>
      <c r="J340" s="46"/>
      <c r="K340" s="24"/>
    </row>
    <row r="341" spans="1:11" x14ac:dyDescent="0.35">
      <c r="A341" s="46"/>
      <c r="B341" s="35"/>
      <c r="C341" s="35"/>
      <c r="D341" s="24"/>
      <c r="E341" s="24"/>
      <c r="F341" s="24"/>
      <c r="G341" s="24"/>
      <c r="H341" s="35"/>
      <c r="I341" s="35"/>
      <c r="J341" s="46"/>
      <c r="K341" s="24"/>
    </row>
    <row r="342" spans="1:11" x14ac:dyDescent="0.35">
      <c r="A342" s="46"/>
      <c r="B342" s="35"/>
      <c r="C342" s="35"/>
      <c r="D342" s="24"/>
      <c r="E342" s="24"/>
      <c r="F342" s="24"/>
      <c r="G342" s="24"/>
      <c r="H342" s="35"/>
      <c r="I342" s="35"/>
      <c r="J342" s="46"/>
      <c r="K342" s="24"/>
    </row>
    <row r="343" spans="1:11" x14ac:dyDescent="0.35">
      <c r="A343" s="46"/>
      <c r="B343" s="35"/>
      <c r="C343" s="35"/>
      <c r="D343" s="24"/>
      <c r="E343" s="24"/>
      <c r="F343" s="24"/>
      <c r="G343" s="24"/>
      <c r="H343" s="35"/>
      <c r="I343" s="35"/>
      <c r="J343" s="46"/>
      <c r="K343" s="24"/>
    </row>
    <row r="344" spans="1:11" x14ac:dyDescent="0.35">
      <c r="A344" s="46"/>
      <c r="B344" s="35"/>
      <c r="C344" s="35"/>
      <c r="D344" s="24"/>
      <c r="E344" s="24"/>
      <c r="F344" s="24"/>
      <c r="G344" s="24"/>
      <c r="H344" s="35"/>
      <c r="I344" s="35"/>
      <c r="J344" s="46"/>
      <c r="K344" s="24"/>
    </row>
    <row r="345" spans="1:11" x14ac:dyDescent="0.35">
      <c r="A345" s="46"/>
      <c r="B345" s="35"/>
      <c r="C345" s="35"/>
      <c r="D345" s="24"/>
      <c r="E345" s="24"/>
      <c r="F345" s="24"/>
      <c r="G345" s="24"/>
      <c r="H345" s="35"/>
      <c r="I345" s="35"/>
      <c r="J345" s="46"/>
      <c r="K345" s="24"/>
    </row>
    <row r="346" spans="1:11" x14ac:dyDescent="0.35">
      <c r="A346" s="46"/>
      <c r="B346" s="35"/>
      <c r="C346" s="35"/>
      <c r="D346" s="24"/>
      <c r="E346" s="24"/>
      <c r="F346" s="24"/>
      <c r="G346" s="24"/>
      <c r="H346" s="35"/>
      <c r="I346" s="35"/>
      <c r="J346" s="46"/>
      <c r="K346" s="24"/>
    </row>
    <row r="347" spans="1:11" x14ac:dyDescent="0.35">
      <c r="A347" s="46"/>
      <c r="B347" s="35"/>
      <c r="C347" s="35"/>
      <c r="D347" s="24"/>
      <c r="E347" s="24"/>
      <c r="F347" s="24"/>
      <c r="G347" s="24"/>
      <c r="H347" s="35"/>
      <c r="I347" s="35"/>
      <c r="J347" s="46"/>
      <c r="K347" s="24"/>
    </row>
    <row r="348" spans="1:11" x14ac:dyDescent="0.35">
      <c r="A348" s="46"/>
      <c r="B348" s="35"/>
      <c r="C348" s="35"/>
      <c r="D348" s="24"/>
      <c r="E348" s="24"/>
      <c r="F348" s="24"/>
      <c r="G348" s="24"/>
      <c r="H348" s="35"/>
      <c r="I348" s="35"/>
      <c r="J348" s="46"/>
      <c r="K348" s="24"/>
    </row>
    <row r="349" spans="1:11" x14ac:dyDescent="0.35">
      <c r="A349" s="46"/>
      <c r="B349" s="35"/>
      <c r="C349" s="35"/>
      <c r="D349" s="24"/>
      <c r="E349" s="24"/>
      <c r="F349" s="24"/>
      <c r="G349" s="24"/>
      <c r="H349" s="35"/>
      <c r="I349" s="35"/>
      <c r="J349" s="46"/>
      <c r="K349" s="24"/>
    </row>
    <row r="350" spans="1:11" x14ac:dyDescent="0.35">
      <c r="A350" s="46"/>
      <c r="B350" s="35"/>
      <c r="C350" s="35"/>
      <c r="D350" s="24"/>
      <c r="E350" s="24"/>
      <c r="F350" s="24"/>
      <c r="G350" s="24"/>
      <c r="H350" s="35"/>
      <c r="I350" s="35"/>
      <c r="J350" s="46"/>
      <c r="K350" s="24"/>
    </row>
    <row r="351" spans="1:11" x14ac:dyDescent="0.35">
      <c r="A351" s="46"/>
      <c r="B351" s="35"/>
      <c r="C351" s="35"/>
      <c r="D351" s="24"/>
      <c r="E351" s="24"/>
      <c r="F351" s="24"/>
      <c r="G351" s="24"/>
      <c r="H351" s="35"/>
      <c r="I351" s="35"/>
      <c r="J351" s="46"/>
      <c r="K351" s="24"/>
    </row>
    <row r="352" spans="1:11" x14ac:dyDescent="0.35">
      <c r="A352" s="46"/>
      <c r="B352" s="35"/>
      <c r="C352" s="35"/>
      <c r="D352" s="24"/>
      <c r="E352" s="24"/>
      <c r="F352" s="24"/>
      <c r="G352" s="24"/>
      <c r="H352" s="35"/>
      <c r="I352" s="35"/>
      <c r="J352" s="46"/>
      <c r="K352" s="24"/>
    </row>
    <row r="353" spans="1:11" x14ac:dyDescent="0.35">
      <c r="A353" s="46"/>
      <c r="B353" s="35"/>
      <c r="C353" s="35"/>
      <c r="D353" s="24"/>
      <c r="E353" s="24"/>
      <c r="F353" s="24"/>
      <c r="G353" s="24"/>
      <c r="H353" s="35"/>
      <c r="I353" s="35"/>
      <c r="J353" s="46"/>
      <c r="K353" s="24"/>
    </row>
    <row r="354" spans="1:11" x14ac:dyDescent="0.35">
      <c r="A354" s="46"/>
      <c r="B354" s="35"/>
      <c r="C354" s="35"/>
      <c r="D354" s="24"/>
      <c r="E354" s="24"/>
      <c r="F354" s="24"/>
      <c r="G354" s="24"/>
      <c r="H354" s="35"/>
      <c r="I354" s="35"/>
      <c r="J354" s="46"/>
      <c r="K354" s="24"/>
    </row>
    <row r="355" spans="1:11" x14ac:dyDescent="0.35">
      <c r="A355" s="46"/>
      <c r="B355" s="35"/>
      <c r="C355" s="35"/>
      <c r="D355" s="24"/>
      <c r="E355" s="24"/>
      <c r="F355" s="24"/>
      <c r="G355" s="24"/>
      <c r="H355" s="35"/>
      <c r="I355" s="35"/>
      <c r="J355" s="46"/>
      <c r="K355" s="24"/>
    </row>
    <row r="356" spans="1:11" x14ac:dyDescent="0.35">
      <c r="A356" s="46"/>
      <c r="B356" s="35"/>
      <c r="C356" s="35"/>
      <c r="D356" s="24"/>
      <c r="E356" s="24"/>
      <c r="F356" s="24"/>
      <c r="G356" s="24"/>
      <c r="H356" s="35"/>
      <c r="I356" s="35"/>
      <c r="J356" s="46"/>
      <c r="K356" s="24"/>
    </row>
    <row r="357" spans="1:11" x14ac:dyDescent="0.35">
      <c r="A357" s="46"/>
      <c r="B357" s="35"/>
      <c r="C357" s="35"/>
      <c r="D357" s="24"/>
      <c r="E357" s="24"/>
      <c r="F357" s="24"/>
      <c r="G357" s="24"/>
      <c r="H357" s="35"/>
      <c r="I357" s="35"/>
      <c r="J357" s="46"/>
      <c r="K357" s="24"/>
    </row>
    <row r="358" spans="1:11" x14ac:dyDescent="0.35">
      <c r="A358" s="46"/>
      <c r="B358" s="35"/>
      <c r="C358" s="35"/>
      <c r="D358" s="24"/>
      <c r="E358" s="24"/>
      <c r="F358" s="24"/>
      <c r="G358" s="24"/>
      <c r="H358" s="35"/>
      <c r="I358" s="35"/>
      <c r="J358" s="46"/>
      <c r="K358" s="24"/>
    </row>
    <row r="359" spans="1:11" x14ac:dyDescent="0.35">
      <c r="A359" s="46"/>
      <c r="B359" s="35"/>
      <c r="C359" s="35"/>
      <c r="D359" s="24"/>
      <c r="E359" s="24"/>
      <c r="F359" s="24"/>
      <c r="G359" s="24"/>
      <c r="H359" s="35"/>
      <c r="I359" s="35"/>
      <c r="J359" s="46"/>
      <c r="K359" s="24"/>
    </row>
    <row r="360" spans="1:11" x14ac:dyDescent="0.35">
      <c r="A360" s="46"/>
      <c r="B360" s="35"/>
      <c r="C360" s="35"/>
      <c r="D360" s="24"/>
      <c r="E360" s="24"/>
      <c r="F360" s="24"/>
      <c r="G360" s="24"/>
      <c r="H360" s="35"/>
      <c r="I360" s="35"/>
      <c r="J360" s="46"/>
      <c r="K360" s="24"/>
    </row>
    <row r="361" spans="1:11" x14ac:dyDescent="0.35">
      <c r="A361" s="46"/>
      <c r="B361" s="35"/>
      <c r="C361" s="35"/>
      <c r="D361" s="24"/>
      <c r="E361" s="24"/>
      <c r="F361" s="24"/>
      <c r="G361" s="24"/>
      <c r="H361" s="35"/>
      <c r="I361" s="35"/>
      <c r="J361" s="46"/>
      <c r="K361" s="24"/>
    </row>
    <row r="362" spans="1:11" x14ac:dyDescent="0.35">
      <c r="A362" s="46"/>
      <c r="B362" s="35"/>
      <c r="C362" s="35"/>
      <c r="D362" s="24"/>
      <c r="E362" s="24"/>
      <c r="F362" s="24"/>
      <c r="G362" s="24"/>
      <c r="H362" s="35"/>
      <c r="I362" s="35"/>
      <c r="J362" s="46"/>
      <c r="K362" s="24"/>
    </row>
    <row r="363" spans="1:11" x14ac:dyDescent="0.35">
      <c r="A363" s="46"/>
      <c r="B363" s="35"/>
      <c r="C363" s="35"/>
      <c r="D363" s="24"/>
      <c r="E363" s="24"/>
      <c r="F363" s="24"/>
      <c r="G363" s="24"/>
      <c r="H363" s="35"/>
      <c r="I363" s="35"/>
      <c r="J363" s="46"/>
      <c r="K363" s="24"/>
    </row>
    <row r="364" spans="1:11" x14ac:dyDescent="0.35">
      <c r="A364" s="46"/>
      <c r="B364" s="35"/>
      <c r="C364" s="35"/>
      <c r="D364" s="24"/>
      <c r="E364" s="24"/>
      <c r="F364" s="24"/>
      <c r="G364" s="24"/>
      <c r="H364" s="35"/>
      <c r="I364" s="35"/>
      <c r="J364" s="46"/>
      <c r="K364" s="24"/>
    </row>
    <row r="365" spans="1:11" x14ac:dyDescent="0.35">
      <c r="A365" s="46"/>
      <c r="B365" s="35"/>
      <c r="C365" s="35"/>
      <c r="D365" s="24"/>
      <c r="E365" s="24"/>
      <c r="F365" s="24"/>
      <c r="G365" s="24"/>
      <c r="H365" s="35"/>
      <c r="I365" s="35"/>
      <c r="J365" s="46"/>
      <c r="K365" s="24"/>
    </row>
    <row r="366" spans="1:11" x14ac:dyDescent="0.35">
      <c r="A366" s="46"/>
      <c r="B366" s="35"/>
      <c r="C366" s="35"/>
      <c r="D366" s="24"/>
      <c r="E366" s="24"/>
      <c r="F366" s="24"/>
      <c r="G366" s="24"/>
      <c r="H366" s="35"/>
      <c r="I366" s="35"/>
      <c r="J366" s="46"/>
      <c r="K366" s="24"/>
    </row>
    <row r="367" spans="1:11" x14ac:dyDescent="0.35">
      <c r="A367" s="46"/>
      <c r="B367" s="35"/>
      <c r="C367" s="35"/>
      <c r="D367" s="24"/>
      <c r="E367" s="24"/>
      <c r="F367" s="24"/>
      <c r="G367" s="24"/>
      <c r="H367" s="35"/>
      <c r="I367" s="35"/>
      <c r="J367" s="46"/>
      <c r="K367" s="24"/>
    </row>
    <row r="368" spans="1:11" x14ac:dyDescent="0.35">
      <c r="A368" s="46"/>
      <c r="B368" s="35"/>
      <c r="C368" s="35"/>
      <c r="D368" s="24"/>
      <c r="E368" s="24"/>
      <c r="F368" s="24"/>
      <c r="G368" s="24"/>
      <c r="H368" s="35"/>
      <c r="I368" s="35"/>
      <c r="J368" s="46"/>
      <c r="K368" s="24"/>
    </row>
    <row r="369" spans="1:11" x14ac:dyDescent="0.35">
      <c r="A369" s="46"/>
      <c r="B369" s="35"/>
      <c r="C369" s="35"/>
      <c r="D369" s="24"/>
      <c r="E369" s="24"/>
      <c r="F369" s="24"/>
      <c r="G369" s="24"/>
      <c r="H369" s="35"/>
      <c r="I369" s="35"/>
      <c r="J369" s="46"/>
      <c r="K369" s="24"/>
    </row>
    <row r="370" spans="1:11" x14ac:dyDescent="0.35">
      <c r="A370" s="46"/>
      <c r="B370" s="35"/>
      <c r="C370" s="35"/>
      <c r="D370" s="24"/>
      <c r="E370" s="24"/>
      <c r="F370" s="24"/>
      <c r="G370" s="24"/>
      <c r="H370" s="35"/>
      <c r="I370" s="35"/>
      <c r="J370" s="46"/>
      <c r="K370" s="24"/>
    </row>
    <row r="371" spans="1:11" x14ac:dyDescent="0.35">
      <c r="A371" s="46"/>
      <c r="B371" s="35"/>
      <c r="C371" s="35"/>
      <c r="D371" s="24"/>
      <c r="E371" s="24"/>
      <c r="F371" s="24"/>
      <c r="G371" s="24"/>
      <c r="H371" s="35"/>
      <c r="I371" s="35"/>
      <c r="J371" s="46"/>
      <c r="K371" s="24"/>
    </row>
    <row r="372" spans="1:11" x14ac:dyDescent="0.35">
      <c r="A372" s="46"/>
      <c r="B372" s="35"/>
      <c r="C372" s="35"/>
      <c r="D372" s="24"/>
      <c r="E372" s="24"/>
      <c r="F372" s="24"/>
      <c r="G372" s="24"/>
      <c r="H372" s="35"/>
      <c r="I372" s="35"/>
      <c r="J372" s="46"/>
      <c r="K372" s="24"/>
    </row>
    <row r="373" spans="1:11" x14ac:dyDescent="0.35">
      <c r="A373" s="46"/>
      <c r="B373" s="35"/>
      <c r="C373" s="35"/>
      <c r="D373" s="24"/>
      <c r="E373" s="24"/>
      <c r="F373" s="24"/>
      <c r="G373" s="24"/>
      <c r="H373" s="35"/>
      <c r="I373" s="35"/>
      <c r="J373" s="46"/>
      <c r="K373" s="24"/>
    </row>
    <row r="374" spans="1:11" x14ac:dyDescent="0.35">
      <c r="A374" s="46"/>
      <c r="B374" s="35"/>
      <c r="C374" s="35"/>
      <c r="D374" s="24"/>
      <c r="E374" s="24"/>
      <c r="F374" s="24"/>
      <c r="G374" s="24"/>
      <c r="H374" s="35"/>
      <c r="I374" s="35"/>
      <c r="J374" s="46"/>
      <c r="K374" s="24"/>
    </row>
    <row r="375" spans="1:11" x14ac:dyDescent="0.35">
      <c r="A375" s="46"/>
      <c r="B375" s="35"/>
      <c r="C375" s="35"/>
      <c r="D375" s="24"/>
      <c r="E375" s="24"/>
      <c r="F375" s="24"/>
      <c r="G375" s="24"/>
      <c r="H375" s="35"/>
      <c r="I375" s="35"/>
      <c r="J375" s="46"/>
      <c r="K375" s="24"/>
    </row>
    <row r="376" spans="1:11" x14ac:dyDescent="0.35">
      <c r="A376" s="46"/>
      <c r="B376" s="35"/>
      <c r="C376" s="35"/>
      <c r="D376" s="24"/>
      <c r="E376" s="24"/>
      <c r="F376" s="24"/>
      <c r="G376" s="24"/>
      <c r="H376" s="35"/>
      <c r="I376" s="35"/>
      <c r="J376" s="46"/>
      <c r="K376" s="24"/>
    </row>
    <row r="377" spans="1:11" x14ac:dyDescent="0.35">
      <c r="A377" s="46"/>
      <c r="B377" s="35"/>
      <c r="C377" s="35"/>
      <c r="D377" s="24"/>
      <c r="E377" s="24"/>
      <c r="F377" s="24"/>
      <c r="G377" s="24"/>
      <c r="H377" s="35"/>
      <c r="I377" s="35"/>
      <c r="J377" s="46"/>
      <c r="K377" s="24"/>
    </row>
    <row r="378" spans="1:11" x14ac:dyDescent="0.35">
      <c r="A378" s="46"/>
      <c r="B378" s="35"/>
      <c r="C378" s="35"/>
      <c r="D378" s="24"/>
      <c r="E378" s="24"/>
      <c r="F378" s="24"/>
      <c r="G378" s="24"/>
      <c r="H378" s="35"/>
      <c r="I378" s="35"/>
      <c r="J378" s="46"/>
      <c r="K378" s="24"/>
    </row>
    <row r="379" spans="1:11" x14ac:dyDescent="0.35">
      <c r="A379" s="46"/>
      <c r="B379" s="35"/>
      <c r="C379" s="35"/>
      <c r="D379" s="24"/>
      <c r="E379" s="24"/>
      <c r="F379" s="24"/>
      <c r="G379" s="24"/>
      <c r="H379" s="35"/>
      <c r="I379" s="35"/>
      <c r="J379" s="46"/>
      <c r="K379" s="24"/>
    </row>
    <row r="380" spans="1:11" x14ac:dyDescent="0.35">
      <c r="A380" s="46"/>
      <c r="B380" s="35"/>
      <c r="C380" s="35"/>
      <c r="D380" s="24"/>
      <c r="E380" s="24"/>
      <c r="F380" s="24"/>
      <c r="G380" s="24"/>
      <c r="H380" s="35"/>
      <c r="I380" s="35"/>
      <c r="J380" s="46"/>
      <c r="K380" s="24"/>
    </row>
    <row r="381" spans="1:11" x14ac:dyDescent="0.35">
      <c r="A381" s="46"/>
      <c r="B381" s="35"/>
      <c r="C381" s="35"/>
      <c r="D381" s="24"/>
      <c r="E381" s="24"/>
      <c r="F381" s="24"/>
      <c r="G381" s="24"/>
      <c r="H381" s="35"/>
      <c r="I381" s="35"/>
      <c r="J381" s="46"/>
      <c r="K381" s="24"/>
    </row>
    <row r="382" spans="1:11" x14ac:dyDescent="0.35">
      <c r="A382" s="46"/>
      <c r="B382" s="35"/>
      <c r="C382" s="35"/>
      <c r="D382" s="24"/>
      <c r="E382" s="24"/>
      <c r="F382" s="24"/>
      <c r="G382" s="24"/>
      <c r="H382" s="35"/>
      <c r="I382" s="35"/>
      <c r="J382" s="46"/>
      <c r="K382" s="24"/>
    </row>
    <row r="383" spans="1:11" x14ac:dyDescent="0.35">
      <c r="A383" s="46"/>
      <c r="B383" s="35"/>
      <c r="C383" s="35"/>
      <c r="D383" s="24"/>
      <c r="E383" s="24"/>
      <c r="F383" s="24"/>
      <c r="G383" s="24"/>
      <c r="H383" s="35"/>
      <c r="I383" s="35"/>
      <c r="J383" s="46"/>
      <c r="K383" s="24"/>
    </row>
    <row r="384" spans="1:11" x14ac:dyDescent="0.35">
      <c r="A384" s="46"/>
      <c r="B384" s="35"/>
      <c r="C384" s="35"/>
      <c r="D384" s="24"/>
      <c r="E384" s="24"/>
      <c r="F384" s="24"/>
      <c r="G384" s="24"/>
      <c r="H384" s="35"/>
      <c r="I384" s="35"/>
      <c r="J384" s="46"/>
      <c r="K384" s="24"/>
    </row>
    <row r="385" spans="1:11" x14ac:dyDescent="0.35">
      <c r="A385" s="46"/>
      <c r="B385" s="35"/>
      <c r="C385" s="35"/>
      <c r="D385" s="24"/>
      <c r="E385" s="24"/>
      <c r="F385" s="24"/>
      <c r="G385" s="24"/>
      <c r="H385" s="35"/>
      <c r="I385" s="35"/>
      <c r="J385" s="46"/>
      <c r="K385" s="24"/>
    </row>
    <row r="386" spans="1:11" x14ac:dyDescent="0.35">
      <c r="A386" s="46"/>
      <c r="B386" s="35"/>
      <c r="C386" s="35"/>
      <c r="D386" s="24"/>
      <c r="E386" s="24"/>
      <c r="F386" s="24"/>
      <c r="G386" s="24"/>
      <c r="H386" s="35"/>
      <c r="I386" s="35"/>
      <c r="J386" s="46"/>
      <c r="K386" s="24"/>
    </row>
    <row r="387" spans="1:11" x14ac:dyDescent="0.35">
      <c r="A387" s="46"/>
      <c r="B387" s="35"/>
      <c r="C387" s="35"/>
      <c r="D387" s="24"/>
      <c r="E387" s="24"/>
      <c r="F387" s="24"/>
      <c r="G387" s="24"/>
      <c r="H387" s="35"/>
      <c r="I387" s="35"/>
      <c r="J387" s="46"/>
      <c r="K387" s="24"/>
    </row>
    <row r="388" spans="1:11" x14ac:dyDescent="0.35">
      <c r="A388" s="46"/>
      <c r="B388" s="35"/>
      <c r="C388" s="35"/>
      <c r="D388" s="24"/>
      <c r="E388" s="24"/>
      <c r="F388" s="24"/>
      <c r="G388" s="24"/>
      <c r="H388" s="35"/>
      <c r="I388" s="35"/>
      <c r="J388" s="46"/>
      <c r="K388" s="24"/>
    </row>
    <row r="389" spans="1:11" x14ac:dyDescent="0.35">
      <c r="A389" s="46"/>
      <c r="B389" s="35"/>
      <c r="C389" s="35"/>
      <c r="D389" s="24"/>
      <c r="E389" s="24"/>
      <c r="F389" s="24"/>
      <c r="G389" s="24"/>
      <c r="H389" s="35"/>
      <c r="I389" s="35"/>
      <c r="J389" s="46"/>
      <c r="K389" s="24"/>
    </row>
    <row r="390" spans="1:11" x14ac:dyDescent="0.35">
      <c r="A390" s="46"/>
      <c r="B390" s="35"/>
      <c r="C390" s="35"/>
      <c r="D390" s="24"/>
      <c r="E390" s="24"/>
      <c r="F390" s="24"/>
      <c r="G390" s="24"/>
      <c r="H390" s="35"/>
      <c r="I390" s="35"/>
      <c r="J390" s="46"/>
      <c r="K390" s="24"/>
    </row>
    <row r="391" spans="1:11" x14ac:dyDescent="0.35">
      <c r="A391" s="46"/>
      <c r="B391" s="35"/>
      <c r="C391" s="35"/>
      <c r="D391" s="24"/>
      <c r="E391" s="24"/>
      <c r="F391" s="24"/>
      <c r="G391" s="24"/>
      <c r="H391" s="35"/>
      <c r="I391" s="35"/>
      <c r="J391" s="46"/>
      <c r="K391" s="24"/>
    </row>
    <row r="392" spans="1:11" x14ac:dyDescent="0.35">
      <c r="A392" s="46"/>
      <c r="B392" s="35"/>
      <c r="C392" s="35"/>
      <c r="D392" s="24"/>
      <c r="E392" s="24"/>
      <c r="F392" s="24"/>
      <c r="G392" s="24"/>
      <c r="H392" s="35"/>
      <c r="I392" s="35"/>
      <c r="J392" s="46"/>
      <c r="K392" s="24"/>
    </row>
    <row r="393" spans="1:11" x14ac:dyDescent="0.35">
      <c r="A393" s="46"/>
      <c r="B393" s="35"/>
      <c r="C393" s="35"/>
      <c r="D393" s="24"/>
      <c r="E393" s="24"/>
      <c r="F393" s="24"/>
      <c r="G393" s="24"/>
      <c r="H393" s="35"/>
      <c r="I393" s="35"/>
      <c r="J393" s="46"/>
      <c r="K393" s="24"/>
    </row>
    <row r="394" spans="1:11" x14ac:dyDescent="0.35">
      <c r="A394" s="46"/>
      <c r="B394" s="35"/>
      <c r="C394" s="35"/>
      <c r="D394" s="24"/>
      <c r="E394" s="24"/>
      <c r="F394" s="24"/>
      <c r="G394" s="24"/>
      <c r="H394" s="35"/>
      <c r="I394" s="35"/>
      <c r="J394" s="46"/>
      <c r="K394" s="24"/>
    </row>
    <row r="395" spans="1:11" x14ac:dyDescent="0.35">
      <c r="A395" s="46"/>
      <c r="B395" s="35"/>
      <c r="C395" s="35"/>
      <c r="D395" s="24"/>
      <c r="E395" s="24"/>
      <c r="F395" s="24"/>
      <c r="G395" s="24"/>
      <c r="H395" s="35"/>
      <c r="I395" s="35"/>
      <c r="J395" s="46"/>
      <c r="K395" s="24"/>
    </row>
    <row r="396" spans="1:11" x14ac:dyDescent="0.35">
      <c r="A396" s="46"/>
      <c r="B396" s="35"/>
      <c r="C396" s="35"/>
      <c r="D396" s="24"/>
      <c r="E396" s="24"/>
      <c r="F396" s="24"/>
      <c r="G396" s="24"/>
      <c r="H396" s="35"/>
      <c r="I396" s="35"/>
      <c r="J396" s="46"/>
      <c r="K396" s="24"/>
    </row>
    <row r="397" spans="1:11" x14ac:dyDescent="0.35">
      <c r="A397" s="46"/>
      <c r="B397" s="35"/>
      <c r="C397" s="35"/>
      <c r="D397" s="24"/>
      <c r="E397" s="24"/>
      <c r="F397" s="24"/>
      <c r="G397" s="24"/>
      <c r="H397" s="35"/>
      <c r="I397" s="35"/>
      <c r="J397" s="46"/>
      <c r="K397" s="24"/>
    </row>
    <row r="398" spans="1:11" x14ac:dyDescent="0.35">
      <c r="A398" s="46"/>
      <c r="B398" s="35"/>
      <c r="C398" s="35"/>
      <c r="D398" s="24"/>
      <c r="E398" s="24"/>
      <c r="F398" s="24"/>
      <c r="G398" s="24"/>
      <c r="H398" s="35"/>
      <c r="I398" s="35"/>
      <c r="J398" s="46"/>
      <c r="K398" s="24"/>
    </row>
    <row r="399" spans="1:11" x14ac:dyDescent="0.35">
      <c r="A399" s="46"/>
      <c r="B399" s="35"/>
      <c r="C399" s="35"/>
      <c r="D399" s="24"/>
      <c r="E399" s="24"/>
      <c r="F399" s="24"/>
      <c r="G399" s="24"/>
      <c r="H399" s="35"/>
      <c r="I399" s="35"/>
      <c r="J399" s="46"/>
      <c r="K399" s="24"/>
    </row>
    <row r="400" spans="1:11" x14ac:dyDescent="0.35">
      <c r="A400" s="46"/>
      <c r="B400" s="35"/>
      <c r="C400" s="35"/>
      <c r="D400" s="24"/>
      <c r="E400" s="24"/>
      <c r="F400" s="24"/>
      <c r="G400" s="24"/>
      <c r="H400" s="35"/>
      <c r="I400" s="35"/>
      <c r="J400" s="46"/>
      <c r="K400" s="24"/>
    </row>
    <row r="401" spans="1:11" x14ac:dyDescent="0.35">
      <c r="A401" s="46"/>
      <c r="B401" s="35"/>
      <c r="C401" s="35"/>
      <c r="D401" s="24"/>
      <c r="E401" s="24"/>
      <c r="F401" s="24"/>
      <c r="G401" s="24"/>
      <c r="H401" s="35"/>
      <c r="I401" s="35"/>
      <c r="J401" s="46"/>
      <c r="K401" s="24"/>
    </row>
    <row r="402" spans="1:11" x14ac:dyDescent="0.35">
      <c r="A402" s="46"/>
      <c r="B402" s="35"/>
      <c r="C402" s="35"/>
      <c r="D402" s="24"/>
      <c r="E402" s="24"/>
      <c r="F402" s="24"/>
      <c r="G402" s="24"/>
      <c r="H402" s="35"/>
      <c r="I402" s="35"/>
      <c r="J402" s="46"/>
      <c r="K402" s="24"/>
    </row>
    <row r="403" spans="1:11" x14ac:dyDescent="0.35">
      <c r="A403" s="46"/>
      <c r="B403" s="35"/>
      <c r="C403" s="35"/>
      <c r="D403" s="24"/>
      <c r="E403" s="24"/>
      <c r="F403" s="24"/>
      <c r="G403" s="24"/>
      <c r="H403" s="35"/>
      <c r="I403" s="35"/>
      <c r="J403" s="46"/>
      <c r="K403" s="24"/>
    </row>
    <row r="404" spans="1:11" x14ac:dyDescent="0.35">
      <c r="A404" s="46"/>
      <c r="B404" s="35"/>
      <c r="C404" s="35"/>
      <c r="D404" s="24"/>
      <c r="E404" s="24"/>
      <c r="F404" s="24"/>
      <c r="G404" s="24"/>
      <c r="H404" s="35"/>
      <c r="I404" s="35"/>
      <c r="J404" s="46"/>
      <c r="K404" s="24"/>
    </row>
    <row r="405" spans="1:11" x14ac:dyDescent="0.35">
      <c r="A405" s="46"/>
      <c r="B405" s="35"/>
      <c r="C405" s="35"/>
      <c r="D405" s="24"/>
      <c r="E405" s="24"/>
      <c r="F405" s="24"/>
      <c r="G405" s="24"/>
      <c r="H405" s="35"/>
      <c r="I405" s="35"/>
      <c r="J405" s="46"/>
      <c r="K405" s="24"/>
    </row>
    <row r="406" spans="1:11" x14ac:dyDescent="0.35">
      <c r="A406" s="46"/>
      <c r="B406" s="35"/>
      <c r="C406" s="35"/>
      <c r="D406" s="24"/>
      <c r="E406" s="24"/>
      <c r="F406" s="24"/>
      <c r="G406" s="24"/>
      <c r="H406" s="35"/>
      <c r="I406" s="35"/>
      <c r="J406" s="46"/>
      <c r="K406" s="24"/>
    </row>
    <row r="407" spans="1:11" x14ac:dyDescent="0.35">
      <c r="A407" s="46"/>
      <c r="B407" s="35"/>
      <c r="C407" s="35"/>
      <c r="D407" s="24"/>
      <c r="E407" s="24"/>
      <c r="F407" s="24"/>
      <c r="G407" s="24"/>
      <c r="H407" s="35"/>
      <c r="I407" s="35"/>
      <c r="J407" s="46"/>
      <c r="K407" s="24"/>
    </row>
    <row r="408" spans="1:11" x14ac:dyDescent="0.35">
      <c r="A408" s="46"/>
      <c r="B408" s="35"/>
      <c r="C408" s="35"/>
      <c r="D408" s="24"/>
      <c r="E408" s="24"/>
      <c r="F408" s="24"/>
      <c r="G408" s="24"/>
      <c r="H408" s="35"/>
      <c r="I408" s="35"/>
      <c r="J408" s="46"/>
      <c r="K408" s="24"/>
    </row>
    <row r="409" spans="1:11" x14ac:dyDescent="0.35">
      <c r="A409" s="46"/>
      <c r="B409" s="35"/>
      <c r="C409" s="35"/>
      <c r="D409" s="24"/>
      <c r="E409" s="24"/>
      <c r="F409" s="24"/>
      <c r="G409" s="24"/>
      <c r="H409" s="35"/>
      <c r="I409" s="35"/>
      <c r="J409" s="46"/>
      <c r="K409" s="24"/>
    </row>
    <row r="410" spans="1:11" x14ac:dyDescent="0.35">
      <c r="A410" s="46"/>
      <c r="B410" s="35"/>
      <c r="C410" s="35"/>
      <c r="D410" s="24"/>
      <c r="E410" s="24"/>
      <c r="F410" s="24"/>
      <c r="G410" s="24"/>
      <c r="H410" s="35"/>
      <c r="I410" s="35"/>
      <c r="J410" s="46"/>
      <c r="K410" s="24"/>
    </row>
    <row r="411" spans="1:11" x14ac:dyDescent="0.35">
      <c r="A411" s="46"/>
      <c r="B411" s="35"/>
      <c r="C411" s="35"/>
      <c r="D411" s="24"/>
      <c r="E411" s="24"/>
      <c r="F411" s="24"/>
      <c r="G411" s="24"/>
      <c r="H411" s="35"/>
      <c r="I411" s="35"/>
      <c r="J411" s="46"/>
      <c r="K411" s="24"/>
    </row>
    <row r="412" spans="1:11" x14ac:dyDescent="0.35">
      <c r="A412" s="46"/>
      <c r="B412" s="35"/>
      <c r="C412" s="35"/>
      <c r="D412" s="24"/>
      <c r="E412" s="24"/>
      <c r="F412" s="24"/>
      <c r="G412" s="24"/>
      <c r="H412" s="35"/>
      <c r="I412" s="35"/>
      <c r="J412" s="46"/>
      <c r="K412" s="24"/>
    </row>
    <row r="413" spans="1:11" x14ac:dyDescent="0.35">
      <c r="A413" s="46"/>
      <c r="B413" s="35"/>
      <c r="C413" s="35"/>
      <c r="D413" s="24"/>
      <c r="E413" s="24"/>
      <c r="F413" s="24"/>
      <c r="G413" s="24"/>
      <c r="H413" s="35"/>
      <c r="I413" s="35"/>
      <c r="J413" s="46"/>
      <c r="K413" s="24"/>
    </row>
    <row r="414" spans="1:11" x14ac:dyDescent="0.35">
      <c r="A414" s="46"/>
      <c r="B414" s="35"/>
      <c r="C414" s="35"/>
      <c r="D414" s="24"/>
      <c r="E414" s="24"/>
      <c r="F414" s="24"/>
      <c r="G414" s="24"/>
      <c r="H414" s="35"/>
      <c r="I414" s="35"/>
      <c r="J414" s="46"/>
      <c r="K414" s="24"/>
    </row>
    <row r="415" spans="1:11" x14ac:dyDescent="0.35">
      <c r="A415" s="46"/>
      <c r="B415" s="35"/>
      <c r="C415" s="35"/>
      <c r="D415" s="24"/>
      <c r="E415" s="24"/>
      <c r="F415" s="24"/>
      <c r="G415" s="24"/>
      <c r="H415" s="35"/>
      <c r="I415" s="35"/>
      <c r="J415" s="46"/>
      <c r="K415" s="24"/>
    </row>
    <row r="416" spans="1:11" x14ac:dyDescent="0.35">
      <c r="A416" s="46"/>
      <c r="B416" s="35"/>
      <c r="C416" s="35"/>
      <c r="D416" s="24"/>
      <c r="E416" s="24"/>
      <c r="F416" s="24"/>
      <c r="G416" s="24"/>
      <c r="H416" s="35"/>
      <c r="I416" s="35"/>
      <c r="J416" s="46"/>
      <c r="K416" s="24"/>
    </row>
    <row r="417" spans="1:11" x14ac:dyDescent="0.35">
      <c r="A417" s="46"/>
      <c r="B417" s="35"/>
      <c r="C417" s="35"/>
      <c r="D417" s="24"/>
      <c r="E417" s="24"/>
      <c r="F417" s="24"/>
      <c r="G417" s="24"/>
      <c r="H417" s="35"/>
      <c r="I417" s="35"/>
      <c r="J417" s="46"/>
      <c r="K417" s="24"/>
    </row>
    <row r="418" spans="1:11" x14ac:dyDescent="0.35">
      <c r="A418" s="46"/>
      <c r="B418" s="35"/>
      <c r="C418" s="35"/>
      <c r="D418" s="24"/>
      <c r="E418" s="24"/>
      <c r="F418" s="24"/>
      <c r="G418" s="24"/>
      <c r="H418" s="35"/>
      <c r="I418" s="35"/>
      <c r="J418" s="46"/>
      <c r="K418" s="24"/>
    </row>
    <row r="419" spans="1:11" x14ac:dyDescent="0.35">
      <c r="A419" s="46"/>
      <c r="B419" s="35"/>
      <c r="C419" s="35"/>
      <c r="D419" s="24"/>
      <c r="E419" s="24"/>
      <c r="F419" s="24"/>
      <c r="G419" s="24"/>
      <c r="H419" s="35"/>
      <c r="I419" s="35"/>
      <c r="J419" s="46"/>
      <c r="K419" s="24"/>
    </row>
    <row r="420" spans="1:11" x14ac:dyDescent="0.35">
      <c r="A420" s="46"/>
      <c r="B420" s="35"/>
      <c r="C420" s="35"/>
      <c r="D420" s="24"/>
      <c r="E420" s="24"/>
      <c r="F420" s="24"/>
      <c r="G420" s="24"/>
      <c r="H420" s="35"/>
      <c r="I420" s="35"/>
      <c r="J420" s="46"/>
      <c r="K420" s="24"/>
    </row>
    <row r="421" spans="1:11" x14ac:dyDescent="0.35">
      <c r="A421" s="46"/>
      <c r="B421" s="35"/>
      <c r="C421" s="35"/>
      <c r="D421" s="24"/>
      <c r="E421" s="24"/>
      <c r="F421" s="24"/>
      <c r="G421" s="24"/>
      <c r="H421" s="35"/>
      <c r="I421" s="35"/>
      <c r="J421" s="46"/>
      <c r="K421" s="24"/>
    </row>
    <row r="422" spans="1:11" x14ac:dyDescent="0.35">
      <c r="A422" s="46"/>
      <c r="B422" s="35"/>
      <c r="C422" s="35"/>
      <c r="D422" s="24"/>
      <c r="E422" s="24"/>
      <c r="F422" s="24"/>
      <c r="G422" s="24"/>
      <c r="H422" s="35"/>
      <c r="I422" s="35"/>
      <c r="J422" s="46"/>
      <c r="K422" s="24"/>
    </row>
    <row r="423" spans="1:11" x14ac:dyDescent="0.35">
      <c r="A423" s="46"/>
      <c r="B423" s="35"/>
      <c r="C423" s="35"/>
      <c r="D423" s="24"/>
      <c r="E423" s="24"/>
      <c r="F423" s="24"/>
      <c r="G423" s="24"/>
      <c r="H423" s="35"/>
      <c r="I423" s="35"/>
      <c r="J423" s="46"/>
      <c r="K423" s="24"/>
    </row>
    <row r="424" spans="1:11" x14ac:dyDescent="0.35">
      <c r="A424" s="46"/>
      <c r="B424" s="35"/>
      <c r="C424" s="35"/>
      <c r="D424" s="24"/>
      <c r="E424" s="24"/>
      <c r="F424" s="24"/>
      <c r="G424" s="24"/>
      <c r="H424" s="35"/>
      <c r="I424" s="35"/>
      <c r="J424" s="46"/>
      <c r="K424" s="24"/>
    </row>
    <row r="425" spans="1:11" x14ac:dyDescent="0.35">
      <c r="A425" s="46"/>
      <c r="B425" s="35"/>
      <c r="C425" s="35"/>
      <c r="D425" s="24"/>
      <c r="E425" s="24"/>
      <c r="F425" s="24"/>
      <c r="G425" s="24"/>
      <c r="H425" s="35"/>
      <c r="I425" s="35"/>
      <c r="J425" s="46"/>
      <c r="K425" s="24"/>
    </row>
    <row r="426" spans="1:11" x14ac:dyDescent="0.35">
      <c r="A426" s="46"/>
      <c r="B426" s="35"/>
      <c r="C426" s="35"/>
      <c r="D426" s="24"/>
      <c r="E426" s="24"/>
      <c r="F426" s="24"/>
      <c r="G426" s="24"/>
      <c r="H426" s="35"/>
      <c r="I426" s="35"/>
      <c r="J426" s="46"/>
      <c r="K426" s="24"/>
    </row>
    <row r="427" spans="1:11" x14ac:dyDescent="0.35">
      <c r="A427" s="46"/>
      <c r="B427" s="35"/>
      <c r="C427" s="35"/>
      <c r="D427" s="24"/>
      <c r="E427" s="24"/>
      <c r="F427" s="24"/>
      <c r="G427" s="24"/>
      <c r="H427" s="35"/>
      <c r="I427" s="35"/>
      <c r="J427" s="46"/>
      <c r="K427" s="24"/>
    </row>
    <row r="428" spans="1:11" x14ac:dyDescent="0.35">
      <c r="A428" s="46"/>
      <c r="B428" s="35"/>
      <c r="C428" s="35"/>
      <c r="D428" s="24"/>
      <c r="E428" s="24"/>
      <c r="F428" s="24"/>
      <c r="G428" s="24"/>
      <c r="H428" s="35"/>
      <c r="I428" s="35"/>
      <c r="J428" s="46"/>
      <c r="K428" s="24"/>
    </row>
    <row r="429" spans="1:11" x14ac:dyDescent="0.35">
      <c r="A429" s="46"/>
      <c r="B429" s="35"/>
      <c r="C429" s="35"/>
      <c r="D429" s="24"/>
      <c r="E429" s="24"/>
      <c r="F429" s="24"/>
      <c r="G429" s="24"/>
      <c r="H429" s="35"/>
      <c r="I429" s="35"/>
      <c r="J429" s="46"/>
      <c r="K429" s="24"/>
    </row>
    <row r="430" spans="1:11" x14ac:dyDescent="0.35">
      <c r="A430" s="46"/>
      <c r="B430" s="35"/>
      <c r="C430" s="35"/>
      <c r="D430" s="24"/>
      <c r="E430" s="24"/>
      <c r="F430" s="24"/>
      <c r="G430" s="24"/>
      <c r="H430" s="35"/>
      <c r="I430" s="35"/>
      <c r="J430" s="46"/>
      <c r="K430" s="24"/>
    </row>
    <row r="431" spans="1:11" x14ac:dyDescent="0.35">
      <c r="A431" s="46"/>
      <c r="B431" s="35"/>
      <c r="C431" s="35"/>
      <c r="D431" s="24"/>
      <c r="E431" s="24"/>
      <c r="F431" s="24"/>
      <c r="G431" s="24"/>
      <c r="H431" s="35"/>
      <c r="I431" s="35"/>
      <c r="J431" s="46"/>
      <c r="K431" s="24"/>
    </row>
    <row r="432" spans="1:11" x14ac:dyDescent="0.35">
      <c r="A432" s="46"/>
      <c r="B432" s="35"/>
      <c r="C432" s="35"/>
      <c r="D432" s="24"/>
      <c r="E432" s="24"/>
      <c r="F432" s="24"/>
      <c r="G432" s="24"/>
      <c r="H432" s="35"/>
      <c r="I432" s="35"/>
      <c r="J432" s="46"/>
      <c r="K432" s="24"/>
    </row>
    <row r="433" spans="1:11" x14ac:dyDescent="0.35">
      <c r="A433" s="46"/>
      <c r="B433" s="35"/>
      <c r="C433" s="35"/>
      <c r="D433" s="24"/>
      <c r="E433" s="24"/>
      <c r="F433" s="24"/>
      <c r="G433" s="24"/>
      <c r="H433" s="35"/>
      <c r="I433" s="35"/>
      <c r="J433" s="46"/>
      <c r="K433" s="24"/>
    </row>
    <row r="434" spans="1:11" x14ac:dyDescent="0.35">
      <c r="A434" s="46"/>
      <c r="B434" s="35"/>
      <c r="C434" s="35"/>
      <c r="D434" s="24"/>
      <c r="E434" s="24"/>
      <c r="F434" s="24"/>
      <c r="G434" s="24"/>
      <c r="H434" s="35"/>
      <c r="I434" s="35"/>
      <c r="J434" s="46"/>
      <c r="K434" s="24"/>
    </row>
    <row r="435" spans="1:11" x14ac:dyDescent="0.35">
      <c r="A435" s="46"/>
      <c r="B435" s="35"/>
      <c r="C435" s="35"/>
      <c r="D435" s="24"/>
      <c r="E435" s="24"/>
      <c r="F435" s="24"/>
      <c r="G435" s="24"/>
      <c r="H435" s="35"/>
      <c r="I435" s="35"/>
      <c r="J435" s="46"/>
      <c r="K435" s="24"/>
    </row>
    <row r="436" spans="1:11" x14ac:dyDescent="0.35">
      <c r="A436" s="46"/>
      <c r="B436" s="35"/>
      <c r="C436" s="35"/>
      <c r="D436" s="24"/>
      <c r="E436" s="24"/>
      <c r="F436" s="24"/>
      <c r="G436" s="24"/>
      <c r="H436" s="35"/>
      <c r="I436" s="35"/>
      <c r="J436" s="46"/>
      <c r="K436" s="24"/>
    </row>
    <row r="437" spans="1:11" x14ac:dyDescent="0.35">
      <c r="A437" s="46"/>
      <c r="B437" s="35"/>
      <c r="C437" s="35"/>
      <c r="D437" s="24"/>
      <c r="E437" s="24"/>
      <c r="F437" s="24"/>
      <c r="G437" s="24"/>
      <c r="H437" s="35"/>
      <c r="I437" s="35"/>
      <c r="J437" s="46"/>
      <c r="K437" s="24"/>
    </row>
    <row r="438" spans="1:11" x14ac:dyDescent="0.35">
      <c r="A438" s="46"/>
      <c r="B438" s="35"/>
      <c r="C438" s="35"/>
      <c r="D438" s="24"/>
      <c r="E438" s="24"/>
      <c r="F438" s="24"/>
      <c r="G438" s="24"/>
      <c r="H438" s="35"/>
      <c r="I438" s="35"/>
      <c r="J438" s="46"/>
      <c r="K438" s="24"/>
    </row>
    <row r="439" spans="1:11" x14ac:dyDescent="0.35">
      <c r="A439" s="46"/>
      <c r="B439" s="35"/>
      <c r="C439" s="35"/>
      <c r="D439" s="24"/>
      <c r="E439" s="24"/>
      <c r="F439" s="24"/>
      <c r="G439" s="24"/>
      <c r="H439" s="35"/>
      <c r="I439" s="35"/>
      <c r="J439" s="46"/>
      <c r="K439" s="24"/>
    </row>
    <row r="440" spans="1:11" x14ac:dyDescent="0.35">
      <c r="A440" s="46"/>
      <c r="B440" s="35"/>
      <c r="C440" s="35"/>
      <c r="D440" s="24"/>
      <c r="E440" s="24"/>
      <c r="F440" s="24"/>
      <c r="G440" s="24"/>
      <c r="H440" s="35"/>
      <c r="I440" s="35"/>
      <c r="J440" s="46"/>
      <c r="K440" s="24"/>
    </row>
    <row r="441" spans="1:11" x14ac:dyDescent="0.35">
      <c r="A441" s="46"/>
      <c r="B441" s="35"/>
      <c r="C441" s="35"/>
      <c r="D441" s="24"/>
      <c r="E441" s="24"/>
      <c r="F441" s="24"/>
      <c r="G441" s="24"/>
      <c r="H441" s="35"/>
      <c r="I441" s="35"/>
      <c r="J441" s="46"/>
      <c r="K441" s="24"/>
    </row>
    <row r="442" spans="1:11" x14ac:dyDescent="0.35">
      <c r="A442" s="46"/>
      <c r="B442" s="35"/>
      <c r="C442" s="35"/>
      <c r="D442" s="24"/>
      <c r="E442" s="24"/>
      <c r="F442" s="24"/>
      <c r="G442" s="24"/>
      <c r="H442" s="35"/>
      <c r="I442" s="35"/>
      <c r="J442" s="46"/>
      <c r="K442" s="24"/>
    </row>
    <row r="443" spans="1:11" x14ac:dyDescent="0.35">
      <c r="A443" s="46"/>
      <c r="B443" s="35"/>
      <c r="C443" s="35"/>
      <c r="D443" s="24"/>
      <c r="E443" s="24"/>
      <c r="F443" s="24"/>
      <c r="G443" s="24"/>
      <c r="H443" s="35"/>
      <c r="I443" s="35"/>
      <c r="J443" s="46"/>
      <c r="K443" s="24"/>
    </row>
    <row r="444" spans="1:11" x14ac:dyDescent="0.35">
      <c r="A444" s="46"/>
      <c r="B444" s="35"/>
      <c r="C444" s="35"/>
      <c r="D444" s="24"/>
      <c r="E444" s="24"/>
      <c r="F444" s="24"/>
      <c r="G444" s="24"/>
      <c r="H444" s="35"/>
      <c r="I444" s="35"/>
      <c r="J444" s="46"/>
      <c r="K444" s="24"/>
    </row>
    <row r="445" spans="1:11" x14ac:dyDescent="0.35">
      <c r="A445" s="46"/>
      <c r="B445" s="35"/>
      <c r="C445" s="35"/>
      <c r="D445" s="24"/>
      <c r="E445" s="24"/>
      <c r="F445" s="24"/>
      <c r="G445" s="24"/>
      <c r="H445" s="35"/>
      <c r="I445" s="35"/>
      <c r="J445" s="46"/>
      <c r="K445" s="24"/>
    </row>
    <row r="446" spans="1:11" x14ac:dyDescent="0.35">
      <c r="A446" s="46"/>
      <c r="B446" s="35"/>
      <c r="C446" s="35"/>
      <c r="D446" s="24"/>
      <c r="E446" s="24"/>
      <c r="F446" s="24"/>
      <c r="G446" s="24"/>
      <c r="H446" s="35"/>
      <c r="I446" s="35"/>
      <c r="J446" s="46"/>
      <c r="K446" s="24"/>
    </row>
    <row r="447" spans="1:11" x14ac:dyDescent="0.35">
      <c r="A447" s="46"/>
      <c r="B447" s="35"/>
      <c r="C447" s="35"/>
      <c r="D447" s="24"/>
      <c r="E447" s="24"/>
      <c r="F447" s="24"/>
      <c r="G447" s="24"/>
      <c r="H447" s="35"/>
      <c r="I447" s="35"/>
      <c r="J447" s="46"/>
      <c r="K447" s="24"/>
    </row>
    <row r="448" spans="1:11" x14ac:dyDescent="0.35">
      <c r="A448" s="46"/>
      <c r="B448" s="35"/>
      <c r="C448" s="35"/>
      <c r="D448" s="24"/>
      <c r="E448" s="24"/>
      <c r="F448" s="24"/>
      <c r="G448" s="24"/>
      <c r="H448" s="35"/>
      <c r="I448" s="35"/>
      <c r="J448" s="46"/>
      <c r="K448" s="24"/>
    </row>
    <row r="449" spans="1:11" x14ac:dyDescent="0.35">
      <c r="A449" s="46"/>
      <c r="B449" s="35"/>
      <c r="C449" s="35"/>
      <c r="D449" s="24"/>
      <c r="E449" s="24"/>
      <c r="F449" s="24"/>
      <c r="G449" s="24"/>
      <c r="H449" s="35"/>
      <c r="I449" s="35"/>
      <c r="J449" s="46"/>
      <c r="K449" s="24"/>
    </row>
    <row r="450" spans="1:11" x14ac:dyDescent="0.35">
      <c r="A450" s="46"/>
      <c r="B450" s="35"/>
      <c r="C450" s="35"/>
      <c r="D450" s="24"/>
      <c r="E450" s="24"/>
      <c r="F450" s="24"/>
      <c r="G450" s="24"/>
      <c r="H450" s="35"/>
      <c r="I450" s="35"/>
      <c r="J450" s="46"/>
      <c r="K450" s="24"/>
    </row>
    <row r="451" spans="1:11" x14ac:dyDescent="0.35">
      <c r="A451" s="46"/>
      <c r="B451" s="35"/>
      <c r="C451" s="35"/>
      <c r="D451" s="24"/>
      <c r="E451" s="24"/>
      <c r="F451" s="24"/>
      <c r="G451" s="24"/>
      <c r="H451" s="35"/>
      <c r="I451" s="35"/>
      <c r="J451" s="46"/>
      <c r="K451" s="24"/>
    </row>
    <row r="452" spans="1:11" x14ac:dyDescent="0.35">
      <c r="A452" s="46"/>
      <c r="B452" s="35"/>
      <c r="C452" s="35"/>
      <c r="D452" s="24"/>
      <c r="E452" s="24"/>
      <c r="F452" s="24"/>
      <c r="G452" s="24"/>
      <c r="H452" s="35"/>
      <c r="I452" s="35"/>
      <c r="J452" s="46"/>
      <c r="K452" s="24"/>
    </row>
    <row r="453" spans="1:11" x14ac:dyDescent="0.35">
      <c r="A453" s="46"/>
      <c r="B453" s="35"/>
      <c r="C453" s="35"/>
      <c r="D453" s="24"/>
      <c r="E453" s="24"/>
      <c r="F453" s="24"/>
      <c r="G453" s="24"/>
      <c r="H453" s="35"/>
      <c r="I453" s="35"/>
      <c r="J453" s="46"/>
      <c r="K453" s="24"/>
    </row>
    <row r="454" spans="1:11" x14ac:dyDescent="0.35">
      <c r="A454" s="46"/>
      <c r="B454" s="35"/>
      <c r="C454" s="35"/>
      <c r="D454" s="24"/>
      <c r="E454" s="24"/>
      <c r="F454" s="24"/>
      <c r="G454" s="24"/>
      <c r="H454" s="35"/>
      <c r="I454" s="35"/>
      <c r="J454" s="46"/>
      <c r="K454" s="24"/>
    </row>
    <row r="455" spans="1:11" x14ac:dyDescent="0.35">
      <c r="A455" s="46"/>
      <c r="B455" s="35"/>
      <c r="C455" s="35"/>
      <c r="D455" s="24"/>
      <c r="E455" s="24"/>
      <c r="F455" s="24"/>
      <c r="G455" s="24"/>
      <c r="H455" s="35"/>
      <c r="I455" s="35"/>
      <c r="J455" s="46"/>
      <c r="K455" s="24"/>
    </row>
    <row r="456" spans="1:11" x14ac:dyDescent="0.35">
      <c r="A456" s="46"/>
      <c r="B456" s="35"/>
      <c r="C456" s="35"/>
      <c r="D456" s="24"/>
      <c r="E456" s="24"/>
      <c r="F456" s="24"/>
      <c r="G456" s="24"/>
      <c r="H456" s="35"/>
      <c r="I456" s="35"/>
      <c r="J456" s="46"/>
      <c r="K456" s="24"/>
    </row>
    <row r="457" spans="1:11" x14ac:dyDescent="0.35">
      <c r="A457" s="46"/>
      <c r="B457" s="35"/>
      <c r="C457" s="35"/>
      <c r="D457" s="24"/>
      <c r="E457" s="24"/>
      <c r="F457" s="24"/>
      <c r="G457" s="24"/>
      <c r="H457" s="35"/>
      <c r="I457" s="35"/>
      <c r="J457" s="46"/>
      <c r="K457" s="24"/>
    </row>
    <row r="458" spans="1:11" x14ac:dyDescent="0.35">
      <c r="A458" s="46"/>
      <c r="B458" s="35"/>
      <c r="C458" s="35"/>
      <c r="D458" s="24"/>
      <c r="E458" s="24"/>
      <c r="F458" s="24"/>
      <c r="G458" s="24"/>
      <c r="H458" s="35"/>
      <c r="I458" s="35"/>
      <c r="J458" s="46"/>
      <c r="K458" s="24"/>
    </row>
    <row r="459" spans="1:11" x14ac:dyDescent="0.35">
      <c r="A459" s="46"/>
      <c r="B459" s="35"/>
      <c r="C459" s="35"/>
      <c r="D459" s="24"/>
      <c r="E459" s="24"/>
      <c r="F459" s="24"/>
      <c r="G459" s="24"/>
      <c r="H459" s="35"/>
      <c r="I459" s="35"/>
      <c r="J459" s="46"/>
      <c r="K459" s="24"/>
    </row>
    <row r="460" spans="1:11" x14ac:dyDescent="0.35">
      <c r="A460" s="46"/>
      <c r="B460" s="35"/>
      <c r="C460" s="35"/>
      <c r="D460" s="24"/>
      <c r="E460" s="24"/>
      <c r="F460" s="24"/>
      <c r="G460" s="24"/>
      <c r="H460" s="35"/>
      <c r="I460" s="35"/>
      <c r="J460" s="46"/>
      <c r="K460" s="24"/>
    </row>
    <row r="461" spans="1:11" x14ac:dyDescent="0.35">
      <c r="A461" s="46"/>
      <c r="B461" s="35"/>
      <c r="C461" s="35"/>
      <c r="D461" s="24"/>
      <c r="E461" s="24"/>
      <c r="F461" s="24"/>
      <c r="G461" s="24"/>
      <c r="H461" s="35"/>
      <c r="I461" s="35"/>
      <c r="J461" s="46"/>
      <c r="K461" s="24"/>
    </row>
    <row r="462" spans="1:11" x14ac:dyDescent="0.35">
      <c r="A462" s="46"/>
      <c r="B462" s="35"/>
      <c r="C462" s="35"/>
      <c r="D462" s="24"/>
      <c r="E462" s="24"/>
      <c r="F462" s="24"/>
      <c r="G462" s="24"/>
      <c r="H462" s="35"/>
      <c r="I462" s="35"/>
      <c r="J462" s="46"/>
      <c r="K462" s="24"/>
    </row>
    <row r="463" spans="1:11" x14ac:dyDescent="0.35">
      <c r="A463" s="46"/>
      <c r="B463" s="35"/>
      <c r="C463" s="35"/>
      <c r="D463" s="24"/>
      <c r="E463" s="24"/>
      <c r="F463" s="24"/>
      <c r="G463" s="24"/>
      <c r="H463" s="35"/>
      <c r="I463" s="35"/>
      <c r="J463" s="46"/>
      <c r="K463" s="24"/>
    </row>
    <row r="464" spans="1:11" x14ac:dyDescent="0.35">
      <c r="A464" s="46"/>
      <c r="B464" s="35"/>
      <c r="C464" s="35"/>
      <c r="D464" s="24"/>
      <c r="E464" s="24"/>
      <c r="F464" s="24"/>
      <c r="G464" s="24"/>
      <c r="H464" s="35"/>
      <c r="I464" s="35"/>
      <c r="J464" s="46"/>
      <c r="K464" s="24"/>
    </row>
    <row r="465" spans="1:11" x14ac:dyDescent="0.35">
      <c r="A465" s="46"/>
      <c r="B465" s="35"/>
      <c r="C465" s="35"/>
      <c r="D465" s="24"/>
      <c r="E465" s="24"/>
      <c r="F465" s="24"/>
      <c r="G465" s="24"/>
      <c r="H465" s="35"/>
      <c r="I465" s="35"/>
      <c r="J465" s="46"/>
      <c r="K465" s="24"/>
    </row>
    <row r="466" spans="1:11" x14ac:dyDescent="0.35">
      <c r="A466" s="46"/>
      <c r="B466" s="35"/>
      <c r="C466" s="35"/>
      <c r="D466" s="24"/>
      <c r="E466" s="24"/>
      <c r="F466" s="24"/>
      <c r="G466" s="24"/>
      <c r="H466" s="35"/>
      <c r="I466" s="35"/>
      <c r="J466" s="46"/>
      <c r="K466" s="24"/>
    </row>
    <row r="467" spans="1:11" x14ac:dyDescent="0.35">
      <c r="A467" s="46"/>
      <c r="B467" s="35"/>
      <c r="C467" s="35"/>
      <c r="D467" s="24"/>
      <c r="E467" s="24"/>
      <c r="F467" s="24"/>
      <c r="G467" s="24"/>
      <c r="H467" s="35"/>
      <c r="I467" s="35"/>
      <c r="J467" s="46"/>
      <c r="K467" s="24"/>
    </row>
    <row r="468" spans="1:11" x14ac:dyDescent="0.35">
      <c r="A468" s="46"/>
      <c r="B468" s="35"/>
      <c r="C468" s="35"/>
      <c r="D468" s="24"/>
      <c r="E468" s="24"/>
      <c r="F468" s="24"/>
      <c r="G468" s="24"/>
      <c r="H468" s="35"/>
      <c r="I468" s="35"/>
      <c r="J468" s="46"/>
      <c r="K468" s="24"/>
    </row>
    <row r="469" spans="1:11" x14ac:dyDescent="0.35">
      <c r="A469" s="46"/>
      <c r="B469" s="35"/>
      <c r="C469" s="35"/>
      <c r="D469" s="24"/>
      <c r="E469" s="24"/>
      <c r="F469" s="24"/>
      <c r="G469" s="24"/>
      <c r="H469" s="35"/>
      <c r="I469" s="35"/>
      <c r="J469" s="46"/>
      <c r="K469" s="24"/>
    </row>
    <row r="470" spans="1:11" x14ac:dyDescent="0.35">
      <c r="A470" s="46"/>
      <c r="B470" s="35"/>
      <c r="C470" s="35"/>
      <c r="D470" s="24"/>
      <c r="E470" s="24"/>
      <c r="F470" s="24"/>
      <c r="G470" s="24"/>
      <c r="H470" s="35"/>
      <c r="I470" s="35"/>
      <c r="J470" s="46"/>
      <c r="K470" s="24"/>
    </row>
    <row r="471" spans="1:11" x14ac:dyDescent="0.35">
      <c r="A471" s="46"/>
      <c r="B471" s="35"/>
      <c r="C471" s="35"/>
      <c r="D471" s="24"/>
      <c r="E471" s="24"/>
      <c r="F471" s="24"/>
      <c r="G471" s="24"/>
      <c r="H471" s="35"/>
      <c r="I471" s="35"/>
      <c r="J471" s="46"/>
      <c r="K471" s="24"/>
    </row>
    <row r="472" spans="1:11" x14ac:dyDescent="0.35">
      <c r="A472" s="46"/>
      <c r="B472" s="35"/>
      <c r="C472" s="35"/>
      <c r="D472" s="24"/>
      <c r="E472" s="24"/>
      <c r="F472" s="24"/>
      <c r="G472" s="24"/>
      <c r="H472" s="35"/>
      <c r="I472" s="35"/>
      <c r="J472" s="46"/>
      <c r="K472" s="24"/>
    </row>
    <row r="473" spans="1:11" x14ac:dyDescent="0.35">
      <c r="A473" s="46"/>
      <c r="B473" s="35"/>
      <c r="C473" s="35"/>
      <c r="D473" s="24"/>
      <c r="E473" s="24"/>
      <c r="F473" s="24"/>
      <c r="G473" s="24"/>
      <c r="H473" s="35"/>
      <c r="I473" s="35"/>
      <c r="J473" s="46"/>
      <c r="K473" s="24"/>
    </row>
    <row r="474" spans="1:11" x14ac:dyDescent="0.35">
      <c r="A474" s="46"/>
      <c r="B474" s="35"/>
      <c r="C474" s="35"/>
      <c r="D474" s="24"/>
      <c r="E474" s="24"/>
      <c r="F474" s="24"/>
      <c r="G474" s="24"/>
      <c r="H474" s="35"/>
      <c r="I474" s="35"/>
      <c r="J474" s="46"/>
      <c r="K474" s="24"/>
    </row>
    <row r="475" spans="1:11" x14ac:dyDescent="0.35">
      <c r="A475" s="46"/>
      <c r="B475" s="35"/>
      <c r="C475" s="35"/>
      <c r="D475" s="24"/>
      <c r="E475" s="24"/>
      <c r="F475" s="24"/>
      <c r="G475" s="24"/>
      <c r="H475" s="35"/>
      <c r="I475" s="35"/>
      <c r="J475" s="46"/>
      <c r="K475" s="24"/>
    </row>
    <row r="476" spans="1:11" x14ac:dyDescent="0.35">
      <c r="A476" s="46"/>
      <c r="B476" s="35"/>
      <c r="C476" s="35"/>
      <c r="D476" s="24"/>
      <c r="E476" s="24"/>
      <c r="F476" s="24"/>
      <c r="G476" s="24"/>
      <c r="H476" s="35"/>
      <c r="I476" s="35"/>
      <c r="J476" s="46"/>
      <c r="K476" s="24"/>
    </row>
    <row r="477" spans="1:11" x14ac:dyDescent="0.35">
      <c r="A477" s="46"/>
      <c r="B477" s="35"/>
      <c r="C477" s="35"/>
      <c r="D477" s="24"/>
      <c r="E477" s="24"/>
      <c r="F477" s="24"/>
      <c r="G477" s="24"/>
      <c r="H477" s="35"/>
      <c r="I477" s="35"/>
      <c r="J477" s="46"/>
      <c r="K477" s="24"/>
    </row>
    <row r="478" spans="1:11" x14ac:dyDescent="0.35">
      <c r="A478" s="46"/>
      <c r="B478" s="35"/>
      <c r="C478" s="35"/>
      <c r="D478" s="24"/>
      <c r="E478" s="24"/>
      <c r="F478" s="24"/>
      <c r="G478" s="24"/>
      <c r="H478" s="35"/>
      <c r="I478" s="35"/>
      <c r="J478" s="46"/>
      <c r="K478" s="24"/>
    </row>
    <row r="479" spans="1:11" x14ac:dyDescent="0.35">
      <c r="A479" s="46"/>
      <c r="B479" s="35"/>
      <c r="C479" s="35"/>
      <c r="D479" s="24"/>
      <c r="E479" s="24"/>
      <c r="F479" s="24"/>
      <c r="G479" s="24"/>
      <c r="H479" s="35"/>
      <c r="I479" s="35"/>
      <c r="J479" s="46"/>
      <c r="K479" s="24"/>
    </row>
    <row r="480" spans="1:11" x14ac:dyDescent="0.35">
      <c r="A480" s="46"/>
      <c r="B480" s="35"/>
      <c r="C480" s="35"/>
      <c r="D480" s="24"/>
      <c r="E480" s="24"/>
      <c r="F480" s="24"/>
      <c r="G480" s="24"/>
      <c r="H480" s="35"/>
      <c r="I480" s="35"/>
      <c r="J480" s="46"/>
      <c r="K480" s="24"/>
    </row>
    <row r="481" spans="1:11" x14ac:dyDescent="0.35">
      <c r="A481" s="46"/>
      <c r="B481" s="35"/>
      <c r="C481" s="35"/>
      <c r="D481" s="24"/>
      <c r="E481" s="24"/>
      <c r="F481" s="24"/>
      <c r="G481" s="24"/>
      <c r="H481" s="35"/>
      <c r="I481" s="35"/>
      <c r="J481" s="46"/>
      <c r="K481" s="24"/>
    </row>
    <row r="482" spans="1:11" x14ac:dyDescent="0.35">
      <c r="A482" s="46"/>
      <c r="B482" s="35"/>
      <c r="C482" s="35"/>
      <c r="D482" s="24"/>
      <c r="E482" s="24"/>
      <c r="F482" s="24"/>
      <c r="G482" s="24"/>
      <c r="H482" s="35"/>
      <c r="I482" s="35"/>
      <c r="J482" s="46"/>
      <c r="K482" s="24"/>
    </row>
    <row r="483" spans="1:11" x14ac:dyDescent="0.35">
      <c r="A483" s="46"/>
      <c r="B483" s="35"/>
      <c r="C483" s="35"/>
      <c r="D483" s="24"/>
      <c r="E483" s="24"/>
      <c r="F483" s="24"/>
      <c r="G483" s="24"/>
      <c r="H483" s="35"/>
      <c r="I483" s="35"/>
      <c r="J483" s="46"/>
      <c r="K483" s="24"/>
    </row>
    <row r="484" spans="1:11" x14ac:dyDescent="0.35">
      <c r="A484" s="46"/>
      <c r="B484" s="35"/>
      <c r="C484" s="35"/>
      <c r="D484" s="24"/>
      <c r="E484" s="24"/>
      <c r="F484" s="24"/>
      <c r="G484" s="24"/>
      <c r="H484" s="35"/>
      <c r="I484" s="35"/>
      <c r="J484" s="46"/>
      <c r="K484" s="24"/>
    </row>
    <row r="485" spans="1:11" x14ac:dyDescent="0.35">
      <c r="A485" s="46"/>
      <c r="B485" s="35"/>
      <c r="C485" s="35"/>
      <c r="D485" s="24"/>
      <c r="E485" s="24"/>
      <c r="F485" s="24"/>
      <c r="G485" s="24"/>
      <c r="H485" s="35"/>
      <c r="I485" s="35"/>
      <c r="J485" s="46"/>
      <c r="K485" s="24"/>
    </row>
    <row r="486" spans="1:11" x14ac:dyDescent="0.35">
      <c r="A486" s="46"/>
      <c r="B486" s="35"/>
      <c r="C486" s="35"/>
      <c r="D486" s="24"/>
      <c r="E486" s="24"/>
      <c r="F486" s="24"/>
      <c r="G486" s="24"/>
      <c r="H486" s="35"/>
      <c r="I486" s="35"/>
      <c r="J486" s="46"/>
      <c r="K486" s="24"/>
    </row>
    <row r="487" spans="1:11" x14ac:dyDescent="0.35">
      <c r="A487" s="46"/>
      <c r="B487" s="35"/>
      <c r="C487" s="35"/>
      <c r="D487" s="24"/>
      <c r="E487" s="24"/>
      <c r="F487" s="24"/>
      <c r="G487" s="24"/>
      <c r="H487" s="35"/>
      <c r="I487" s="35"/>
      <c r="J487" s="46"/>
      <c r="K487" s="24"/>
    </row>
    <row r="488" spans="1:11" x14ac:dyDescent="0.35">
      <c r="A488" s="46"/>
      <c r="B488" s="35"/>
      <c r="C488" s="35"/>
      <c r="D488" s="24"/>
      <c r="E488" s="24"/>
      <c r="F488" s="24"/>
      <c r="G488" s="24"/>
      <c r="H488" s="35"/>
      <c r="I488" s="35"/>
      <c r="J488" s="46"/>
      <c r="K488" s="24"/>
    </row>
    <row r="489" spans="1:11" x14ac:dyDescent="0.35">
      <c r="A489" s="46"/>
      <c r="B489" s="35"/>
      <c r="C489" s="35"/>
      <c r="D489" s="24"/>
      <c r="E489" s="24"/>
      <c r="F489" s="24"/>
      <c r="G489" s="24"/>
      <c r="H489" s="35"/>
      <c r="I489" s="35"/>
      <c r="J489" s="46"/>
      <c r="K489" s="24"/>
    </row>
    <row r="490" spans="1:11" x14ac:dyDescent="0.35">
      <c r="A490" s="46"/>
      <c r="B490" s="35"/>
      <c r="C490" s="35"/>
      <c r="D490" s="24"/>
      <c r="E490" s="24"/>
      <c r="F490" s="24"/>
      <c r="G490" s="24"/>
      <c r="H490" s="35"/>
      <c r="I490" s="35"/>
      <c r="J490" s="46"/>
      <c r="K490" s="24"/>
    </row>
    <row r="491" spans="1:11" x14ac:dyDescent="0.35">
      <c r="A491" s="46"/>
      <c r="B491" s="35"/>
      <c r="C491" s="35"/>
      <c r="D491" s="24"/>
      <c r="E491" s="24"/>
      <c r="F491" s="24"/>
      <c r="G491" s="24"/>
      <c r="H491" s="35"/>
      <c r="I491" s="35"/>
      <c r="J491" s="46"/>
      <c r="K491" s="24"/>
    </row>
    <row r="492" spans="1:11" x14ac:dyDescent="0.35">
      <c r="A492" s="46"/>
      <c r="B492" s="35"/>
      <c r="C492" s="35"/>
      <c r="D492" s="24"/>
      <c r="E492" s="24"/>
      <c r="F492" s="24"/>
      <c r="G492" s="24"/>
      <c r="H492" s="35"/>
      <c r="I492" s="35"/>
      <c r="J492" s="46"/>
      <c r="K492" s="24"/>
    </row>
    <row r="493" spans="1:11" x14ac:dyDescent="0.35">
      <c r="A493" s="46"/>
      <c r="B493" s="35"/>
      <c r="C493" s="35"/>
      <c r="D493" s="24"/>
      <c r="E493" s="24"/>
      <c r="F493" s="24"/>
      <c r="G493" s="24"/>
      <c r="H493" s="35"/>
      <c r="I493" s="35"/>
      <c r="J493" s="46"/>
      <c r="K493" s="24"/>
    </row>
    <row r="494" spans="1:11" x14ac:dyDescent="0.35">
      <c r="A494" s="46"/>
      <c r="B494" s="35"/>
      <c r="C494" s="35"/>
      <c r="D494" s="24"/>
      <c r="E494" s="24"/>
      <c r="F494" s="24"/>
      <c r="G494" s="24"/>
      <c r="H494" s="35"/>
      <c r="I494" s="35"/>
      <c r="J494" s="46"/>
      <c r="K494" s="24"/>
    </row>
    <row r="495" spans="1:11" x14ac:dyDescent="0.35">
      <c r="A495" s="46"/>
      <c r="B495" s="35"/>
      <c r="C495" s="35"/>
      <c r="D495" s="24"/>
      <c r="E495" s="24"/>
      <c r="F495" s="24"/>
      <c r="G495" s="24"/>
      <c r="H495" s="35"/>
      <c r="I495" s="35"/>
      <c r="J495" s="46"/>
      <c r="K495" s="24"/>
    </row>
    <row r="496" spans="1:11" x14ac:dyDescent="0.35">
      <c r="A496" s="46"/>
      <c r="B496" s="35"/>
      <c r="C496" s="35"/>
      <c r="D496" s="24"/>
      <c r="E496" s="24"/>
      <c r="F496" s="24"/>
      <c r="G496" s="24"/>
      <c r="H496" s="35"/>
      <c r="I496" s="35"/>
      <c r="J496" s="46"/>
      <c r="K496" s="24"/>
    </row>
    <row r="497" spans="1:11" x14ac:dyDescent="0.35">
      <c r="A497" s="46"/>
      <c r="B497" s="35"/>
      <c r="C497" s="35"/>
      <c r="D497" s="24"/>
      <c r="E497" s="24"/>
      <c r="F497" s="24"/>
      <c r="G497" s="24"/>
      <c r="H497" s="35"/>
      <c r="I497" s="35"/>
      <c r="J497" s="46"/>
      <c r="K497" s="24"/>
    </row>
    <row r="498" spans="1:11" x14ac:dyDescent="0.35">
      <c r="A498" s="46"/>
      <c r="B498" s="35"/>
      <c r="C498" s="35"/>
      <c r="D498" s="24"/>
      <c r="E498" s="24"/>
      <c r="F498" s="24"/>
      <c r="G498" s="24"/>
      <c r="H498" s="35"/>
      <c r="I498" s="35"/>
      <c r="J498" s="46"/>
      <c r="K498" s="24"/>
    </row>
    <row r="499" spans="1:11" x14ac:dyDescent="0.35">
      <c r="A499" s="46"/>
      <c r="B499" s="35"/>
      <c r="C499" s="35"/>
      <c r="D499" s="24"/>
      <c r="E499" s="24"/>
      <c r="F499" s="24"/>
      <c r="G499" s="24"/>
      <c r="H499" s="35"/>
      <c r="I499" s="35"/>
      <c r="J499" s="46"/>
      <c r="K499" s="24"/>
    </row>
    <row r="500" spans="1:11" x14ac:dyDescent="0.35">
      <c r="A500" s="46"/>
      <c r="B500" s="35"/>
      <c r="C500" s="35"/>
      <c r="D500" s="24"/>
      <c r="E500" s="24"/>
      <c r="F500" s="24"/>
      <c r="G500" s="24"/>
      <c r="H500" s="35"/>
      <c r="I500" s="35"/>
      <c r="J500" s="46"/>
      <c r="K500" s="24"/>
    </row>
    <row r="501" spans="1:11" x14ac:dyDescent="0.35">
      <c r="A501" s="46"/>
      <c r="B501" s="35"/>
      <c r="C501" s="35"/>
      <c r="D501" s="24"/>
      <c r="E501" s="24"/>
      <c r="F501" s="24"/>
      <c r="G501" s="24"/>
      <c r="H501" s="35"/>
      <c r="I501" s="35"/>
      <c r="J501" s="46"/>
      <c r="K501" s="24"/>
    </row>
    <row r="502" spans="1:11" x14ac:dyDescent="0.35">
      <c r="A502" s="46"/>
      <c r="B502" s="35"/>
      <c r="C502" s="35"/>
      <c r="D502" s="24"/>
      <c r="E502" s="24"/>
      <c r="F502" s="24"/>
      <c r="G502" s="24"/>
      <c r="H502" s="35"/>
      <c r="I502" s="35"/>
      <c r="J502" s="46"/>
      <c r="K502" s="24"/>
    </row>
    <row r="503" spans="1:11" x14ac:dyDescent="0.35">
      <c r="A503" s="46"/>
      <c r="B503" s="35"/>
      <c r="C503" s="35"/>
      <c r="D503" s="24"/>
      <c r="E503" s="24"/>
      <c r="F503" s="24"/>
      <c r="G503" s="24"/>
      <c r="H503" s="35"/>
      <c r="I503" s="35"/>
      <c r="J503" s="46"/>
      <c r="K503" s="24"/>
    </row>
    <row r="504" spans="1:11" x14ac:dyDescent="0.35">
      <c r="A504" s="46"/>
      <c r="B504" s="35"/>
      <c r="C504" s="35"/>
      <c r="D504" s="24"/>
      <c r="E504" s="24"/>
      <c r="F504" s="24"/>
      <c r="G504" s="24"/>
      <c r="H504" s="35"/>
      <c r="I504" s="35"/>
      <c r="J504" s="46"/>
      <c r="K504" s="24"/>
    </row>
    <row r="505" spans="1:11" x14ac:dyDescent="0.35">
      <c r="A505" s="46"/>
      <c r="B505" s="35"/>
      <c r="C505" s="35"/>
      <c r="D505" s="24"/>
      <c r="E505" s="24"/>
      <c r="F505" s="24"/>
      <c r="G505" s="24"/>
      <c r="H505" s="35"/>
      <c r="I505" s="35"/>
      <c r="J505" s="46"/>
      <c r="K505" s="24"/>
    </row>
  </sheetData>
  <autoFilter ref="A5:K505" xr:uid="{00000000-0001-0000-1200-000000000000}"/>
  <dataValidations count="1">
    <dataValidation type="list" allowBlank="1" showErrorMessage="1" sqref="B6:B505" xr:uid="{00000000-0002-0000-1200-000000000000}">
      <formula1>"Risk Register,Appetite,Methodology,Controls,Treatment,Risk Acceptance Register,KRI,Emerging Risks,Scenario,Exception Register,Other"</formula1>
      <formula2>0</formula2>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BF8F00"/>
  </sheetPr>
  <dimension ref="A1:K45"/>
  <sheetViews>
    <sheetView showGridLines="0" workbookViewId="0">
      <pane ySplit="5" topLeftCell="A6" activePane="bottomLeft" state="frozen"/>
      <selection pane="bottomLeft"/>
    </sheetView>
  </sheetViews>
  <sheetFormatPr defaultColWidth="8.6328125" defaultRowHeight="14.5" x14ac:dyDescent="0.35"/>
  <cols>
    <col min="1" max="1" width="12" customWidth="1"/>
    <col min="2" max="2" width="42" customWidth="1"/>
    <col min="3" max="3" width="30" customWidth="1"/>
    <col min="4" max="4" width="10" customWidth="1"/>
    <col min="5" max="5" width="48" customWidth="1"/>
    <col min="6" max="6" width="18" customWidth="1"/>
    <col min="7" max="7" width="22" customWidth="1"/>
    <col min="8" max="9" width="14" customWidth="1"/>
    <col min="10" max="10" width="30" customWidth="1"/>
    <col min="11" max="11" width="10" customWidth="1"/>
  </cols>
  <sheetData>
    <row r="1" spans="1:11" ht="20" x14ac:dyDescent="0.4">
      <c r="A1" s="2" t="s">
        <v>722</v>
      </c>
    </row>
    <row r="2" spans="1:11" x14ac:dyDescent="0.35">
      <c r="A2" s="1" t="s">
        <v>830</v>
      </c>
    </row>
    <row r="5" spans="1:11" ht="43.5" customHeight="1" x14ac:dyDescent="0.35">
      <c r="A5" s="16" t="s">
        <v>723</v>
      </c>
      <c r="B5" s="16" t="s">
        <v>724</v>
      </c>
      <c r="C5" s="16" t="s">
        <v>725</v>
      </c>
      <c r="D5" s="16" t="s">
        <v>726</v>
      </c>
      <c r="E5" s="16" t="s">
        <v>727</v>
      </c>
      <c r="F5" s="16" t="s">
        <v>393</v>
      </c>
      <c r="G5" s="16" t="s">
        <v>728</v>
      </c>
      <c r="H5" s="16" t="s">
        <v>729</v>
      </c>
      <c r="I5" s="16" t="s">
        <v>361</v>
      </c>
      <c r="J5" s="16" t="s">
        <v>730</v>
      </c>
      <c r="K5" s="16" t="s">
        <v>731</v>
      </c>
    </row>
    <row r="6" spans="1:11" ht="25" x14ac:dyDescent="0.35">
      <c r="A6" s="35" t="s">
        <v>732</v>
      </c>
      <c r="B6" s="24" t="s">
        <v>733</v>
      </c>
      <c r="C6" s="24" t="s">
        <v>734</v>
      </c>
      <c r="D6" s="36">
        <v>1</v>
      </c>
      <c r="E6" s="24" t="s">
        <v>735</v>
      </c>
      <c r="F6" s="35" t="s">
        <v>736</v>
      </c>
      <c r="G6" s="35" t="s">
        <v>737</v>
      </c>
      <c r="H6" s="46">
        <v>46315</v>
      </c>
      <c r="I6" s="46">
        <v>46387</v>
      </c>
      <c r="J6" s="37" t="str">
        <f ca="1">IF(A6="","",IF(OR(B6="",C6="",D6="",E6="",F6="",G6="",H6="",I6=""),"Incomplete - not counted",IF(OR(NOT(ISNUMBER(H6)),NOT(ISNUMBER(I6))),"Invalid dates - not counted",IF(OR(H6&lt;=0,I6&lt;H6),"Invalid dates - not counted",IF(OR(NOT(ISNUMBER(D6)),D6&lt;&gt;1),"Invalid issue count - not counted",IF(F6=G6,"Self-authorised - not counted",IF(H6&gt;Methodology!$B$4,"Authorisation date in future - not counted",IF(I6&lt;Methodology!$B$4,"Expired - not counted","Valid"))))))))</f>
        <v>Valid</v>
      </c>
      <c r="K6" s="37">
        <f ca="1">IF(AND(J6="Valid",B6=Checks!$A$11),IF(SUMPRODUCT(('Risk Acceptance Register'!$A$6:$A$105&lt;&gt;"")*(('Risk Acceptance Register'!$A$6:$A$105&amp;" ("&amp;'Risk Acceptance Register'!$B$6:$B$105&amp;")")=C6)*('Risk Acceptance Register'!$O$6:$O$105="Insufficient authority"))&gt;0,1,0),0)</f>
        <v>1</v>
      </c>
    </row>
    <row r="7" spans="1:11" ht="25" x14ac:dyDescent="0.35">
      <c r="A7" s="35" t="s">
        <v>738</v>
      </c>
      <c r="B7" s="24" t="s">
        <v>739</v>
      </c>
      <c r="C7" s="24" t="s">
        <v>740</v>
      </c>
      <c r="D7" s="36">
        <v>2</v>
      </c>
      <c r="E7" s="24" t="s">
        <v>741</v>
      </c>
      <c r="F7" s="35" t="s">
        <v>736</v>
      </c>
      <c r="G7" s="35" t="s">
        <v>737</v>
      </c>
      <c r="H7" s="46">
        <v>46315</v>
      </c>
      <c r="I7" s="46">
        <v>46387</v>
      </c>
      <c r="J7" s="37" t="str">
        <f>IF(A7="","",IF(OR(B7="",C7="",D7="",E7="",F7="",G7="",H7="",I7=""),"Incomplete - not counted",IF(OR(NOT(ISNUMBER(H7)),NOT(ISNUMBER(I7))),"Invalid dates - not counted",IF(OR(H7&lt;=0,I7&lt;H7),"Invalid dates - not counted",IF(OR(NOT(ISNUMBER(D7)),D7&lt;&gt;1),"Invalid issue count - not counted",IF(F7=G7,"Self-authorised - not counted",IF(H7&gt;Methodology!$B$4,"Authorisation date in future - not counted",IF(I7&lt;Methodology!$B$4,"Expired - not counted","Valid"))))))))</f>
        <v>Invalid issue count - not counted</v>
      </c>
      <c r="K7" s="37">
        <f>IF(AND(J7="Valid",B7=Checks!$A$11),IF(SUMPRODUCT(('Risk Acceptance Register'!$A$6:$A$105&lt;&gt;"")*(('Risk Acceptance Register'!$A$6:$A$105&amp;" ("&amp;'Risk Acceptance Register'!$B$6:$B$105&amp;")")=C7)*('Risk Acceptance Register'!$O$6:$O$105="Insufficient authority"))&gt;0,1,0),0)</f>
        <v>0</v>
      </c>
    </row>
    <row r="8" spans="1:11" x14ac:dyDescent="0.35">
      <c r="A8" s="35"/>
      <c r="B8" s="24"/>
      <c r="C8" s="24"/>
      <c r="D8" s="36"/>
      <c r="E8" s="24"/>
      <c r="F8" s="35"/>
      <c r="G8" s="35"/>
      <c r="H8" s="46"/>
      <c r="I8" s="46"/>
      <c r="J8" s="37" t="str">
        <f>IF(A8="","",IF(OR(B8="",C8="",D8="",E8="",F8="",G8="",H8="",I8=""),"Incomplete - not counted",IF(OR(NOT(ISNUMBER(H8)),NOT(ISNUMBER(I8))),"Invalid dates - not counted",IF(OR(H8&lt;=0,I8&lt;H8),"Invalid dates - not counted",IF(OR(NOT(ISNUMBER(D8)),D8&lt;&gt;1),"Invalid issue count - not counted",IF(F8=G8,"Self-authorised - not counted",IF(H8&gt;Methodology!$B$4,"Authorisation date in future - not counted",IF(I8&lt;Methodology!$B$4,"Expired - not counted","Valid"))))))))</f>
        <v/>
      </c>
      <c r="K8" s="37">
        <f>IF(AND(J8="Valid",B8=Checks!$A$11),IF(SUMPRODUCT(('Risk Acceptance Register'!$A$6:$A$105&lt;&gt;"")*(('Risk Acceptance Register'!$A$6:$A$105&amp;" ("&amp;'Risk Acceptance Register'!$B$6:$B$105&amp;")")=C8)*('Risk Acceptance Register'!$O$6:$O$105="Insufficient authority"))&gt;0,1,0),0)</f>
        <v>0</v>
      </c>
    </row>
    <row r="9" spans="1:11" x14ac:dyDescent="0.35">
      <c r="A9" s="35"/>
      <c r="B9" s="24"/>
      <c r="C9" s="24"/>
      <c r="D9" s="36"/>
      <c r="E9" s="24"/>
      <c r="F9" s="35"/>
      <c r="G9" s="35"/>
      <c r="H9" s="46"/>
      <c r="I9" s="46"/>
      <c r="J9" s="37" t="str">
        <f>IF(A9="","",IF(OR(B9="",C9="",D9="",E9="",F9="",G9="",H9="",I9=""),"Incomplete - not counted",IF(OR(NOT(ISNUMBER(H9)),NOT(ISNUMBER(I9))),"Invalid dates - not counted",IF(OR(H9&lt;=0,I9&lt;H9),"Invalid dates - not counted",IF(OR(NOT(ISNUMBER(D9)),D9&lt;&gt;1),"Invalid issue count - not counted",IF(F9=G9,"Self-authorised - not counted",IF(H9&gt;Methodology!$B$4,"Authorisation date in future - not counted",IF(I9&lt;Methodology!$B$4,"Expired - not counted","Valid"))))))))</f>
        <v/>
      </c>
      <c r="K9" s="37">
        <f>IF(AND(J9="Valid",B9=Checks!$A$11),IF(SUMPRODUCT(('Risk Acceptance Register'!$A$6:$A$105&lt;&gt;"")*(('Risk Acceptance Register'!$A$6:$A$105&amp;" ("&amp;'Risk Acceptance Register'!$B$6:$B$105&amp;")")=C9)*('Risk Acceptance Register'!$O$6:$O$105="Insufficient authority"))&gt;0,1,0),0)</f>
        <v>0</v>
      </c>
    </row>
    <row r="10" spans="1:11" x14ac:dyDescent="0.35">
      <c r="A10" s="35"/>
      <c r="B10" s="24"/>
      <c r="C10" s="24"/>
      <c r="D10" s="36"/>
      <c r="E10" s="24"/>
      <c r="F10" s="35"/>
      <c r="G10" s="35"/>
      <c r="H10" s="46"/>
      <c r="I10" s="46"/>
      <c r="J10" s="37" t="str">
        <f>IF(A10="","",IF(OR(B10="",C10="",D10="",E10="",F10="",G10="",H10="",I10=""),"Incomplete - not counted",IF(OR(NOT(ISNUMBER(H10)),NOT(ISNUMBER(I10))),"Invalid dates - not counted",IF(OR(H10&lt;=0,I10&lt;H10),"Invalid dates - not counted",IF(OR(NOT(ISNUMBER(D10)),D10&lt;&gt;1),"Invalid issue count - not counted",IF(F10=G10,"Self-authorised - not counted",IF(H10&gt;Methodology!$B$4,"Authorisation date in future - not counted",IF(I10&lt;Methodology!$B$4,"Expired - not counted","Valid"))))))))</f>
        <v/>
      </c>
      <c r="K10" s="37">
        <f>IF(AND(J10="Valid",B10=Checks!$A$11),IF(SUMPRODUCT(('Risk Acceptance Register'!$A$6:$A$105&lt;&gt;"")*(('Risk Acceptance Register'!$A$6:$A$105&amp;" ("&amp;'Risk Acceptance Register'!$B$6:$B$105&amp;")")=C10)*('Risk Acceptance Register'!$O$6:$O$105="Insufficient authority"))&gt;0,1,0),0)</f>
        <v>0</v>
      </c>
    </row>
    <row r="11" spans="1:11" x14ac:dyDescent="0.35">
      <c r="A11" s="35"/>
      <c r="B11" s="24"/>
      <c r="C11" s="24"/>
      <c r="D11" s="36"/>
      <c r="E11" s="24"/>
      <c r="F11" s="35"/>
      <c r="G11" s="35"/>
      <c r="H11" s="46"/>
      <c r="I11" s="46"/>
      <c r="J11" s="37" t="str">
        <f>IF(A11="","",IF(OR(B11="",C11="",D11="",E11="",F11="",G11="",H11="",I11=""),"Incomplete - not counted",IF(OR(NOT(ISNUMBER(H11)),NOT(ISNUMBER(I11))),"Invalid dates - not counted",IF(OR(H11&lt;=0,I11&lt;H11),"Invalid dates - not counted",IF(OR(NOT(ISNUMBER(D11)),D11&lt;&gt;1),"Invalid issue count - not counted",IF(F11=G11,"Self-authorised - not counted",IF(H11&gt;Methodology!$B$4,"Authorisation date in future - not counted",IF(I11&lt;Methodology!$B$4,"Expired - not counted","Valid"))))))))</f>
        <v/>
      </c>
      <c r="K11" s="37">
        <f>IF(AND(J11="Valid",B11=Checks!$A$11),IF(SUMPRODUCT(('Risk Acceptance Register'!$A$6:$A$105&lt;&gt;"")*(('Risk Acceptance Register'!$A$6:$A$105&amp;" ("&amp;'Risk Acceptance Register'!$B$6:$B$105&amp;")")=C11)*('Risk Acceptance Register'!$O$6:$O$105="Insufficient authority"))&gt;0,1,0),0)</f>
        <v>0</v>
      </c>
    </row>
    <row r="12" spans="1:11" x14ac:dyDescent="0.35">
      <c r="A12" s="35"/>
      <c r="B12" s="24"/>
      <c r="C12" s="24"/>
      <c r="D12" s="36"/>
      <c r="E12" s="24"/>
      <c r="F12" s="35"/>
      <c r="G12" s="35"/>
      <c r="H12" s="46"/>
      <c r="I12" s="46"/>
      <c r="J12" s="37" t="str">
        <f>IF(A12="","",IF(OR(B12="",C12="",D12="",E12="",F12="",G12="",H12="",I12=""),"Incomplete - not counted",IF(OR(NOT(ISNUMBER(H12)),NOT(ISNUMBER(I12))),"Invalid dates - not counted",IF(OR(H12&lt;=0,I12&lt;H12),"Invalid dates - not counted",IF(OR(NOT(ISNUMBER(D12)),D12&lt;&gt;1),"Invalid issue count - not counted",IF(F12=G12,"Self-authorised - not counted",IF(H12&gt;Methodology!$B$4,"Authorisation date in future - not counted",IF(I12&lt;Methodology!$B$4,"Expired - not counted","Valid"))))))))</f>
        <v/>
      </c>
      <c r="K12" s="37">
        <f>IF(AND(J12="Valid",B12=Checks!$A$11),IF(SUMPRODUCT(('Risk Acceptance Register'!$A$6:$A$105&lt;&gt;"")*(('Risk Acceptance Register'!$A$6:$A$105&amp;" ("&amp;'Risk Acceptance Register'!$B$6:$B$105&amp;")")=C12)*('Risk Acceptance Register'!$O$6:$O$105="Insufficient authority"))&gt;0,1,0),0)</f>
        <v>0</v>
      </c>
    </row>
    <row r="13" spans="1:11" x14ac:dyDescent="0.35">
      <c r="A13" s="35"/>
      <c r="B13" s="24"/>
      <c r="C13" s="24"/>
      <c r="D13" s="36"/>
      <c r="E13" s="24"/>
      <c r="F13" s="35"/>
      <c r="G13" s="35"/>
      <c r="H13" s="46"/>
      <c r="I13" s="46"/>
      <c r="J13" s="37" t="str">
        <f>IF(A13="","",IF(OR(B13="",C13="",D13="",E13="",F13="",G13="",H13="",I13=""),"Incomplete - not counted",IF(OR(NOT(ISNUMBER(H13)),NOT(ISNUMBER(I13))),"Invalid dates - not counted",IF(OR(H13&lt;=0,I13&lt;H13),"Invalid dates - not counted",IF(OR(NOT(ISNUMBER(D13)),D13&lt;&gt;1),"Invalid issue count - not counted",IF(F13=G13,"Self-authorised - not counted",IF(H13&gt;Methodology!$B$4,"Authorisation date in future - not counted",IF(I13&lt;Methodology!$B$4,"Expired - not counted","Valid"))))))))</f>
        <v/>
      </c>
      <c r="K13" s="37">
        <f>IF(AND(J13="Valid",B13=Checks!$A$11),IF(SUMPRODUCT(('Risk Acceptance Register'!$A$6:$A$105&lt;&gt;"")*(('Risk Acceptance Register'!$A$6:$A$105&amp;" ("&amp;'Risk Acceptance Register'!$B$6:$B$105&amp;")")=C13)*('Risk Acceptance Register'!$O$6:$O$105="Insufficient authority"))&gt;0,1,0),0)</f>
        <v>0</v>
      </c>
    </row>
    <row r="14" spans="1:11" x14ac:dyDescent="0.35">
      <c r="A14" s="35"/>
      <c r="B14" s="24"/>
      <c r="C14" s="24"/>
      <c r="D14" s="36"/>
      <c r="E14" s="24"/>
      <c r="F14" s="35"/>
      <c r="G14" s="35"/>
      <c r="H14" s="46"/>
      <c r="I14" s="46"/>
      <c r="J14" s="37" t="str">
        <f>IF(A14="","",IF(OR(B14="",C14="",D14="",E14="",F14="",G14="",H14="",I14=""),"Incomplete - not counted",IF(OR(NOT(ISNUMBER(H14)),NOT(ISNUMBER(I14))),"Invalid dates - not counted",IF(OR(H14&lt;=0,I14&lt;H14),"Invalid dates - not counted",IF(OR(NOT(ISNUMBER(D14)),D14&lt;&gt;1),"Invalid issue count - not counted",IF(F14=G14,"Self-authorised - not counted",IF(H14&gt;Methodology!$B$4,"Authorisation date in future - not counted",IF(I14&lt;Methodology!$B$4,"Expired - not counted","Valid"))))))))</f>
        <v/>
      </c>
      <c r="K14" s="37">
        <f>IF(AND(J14="Valid",B14=Checks!$A$11),IF(SUMPRODUCT(('Risk Acceptance Register'!$A$6:$A$105&lt;&gt;"")*(('Risk Acceptance Register'!$A$6:$A$105&amp;" ("&amp;'Risk Acceptance Register'!$B$6:$B$105&amp;")")=C14)*('Risk Acceptance Register'!$O$6:$O$105="Insufficient authority"))&gt;0,1,0),0)</f>
        <v>0</v>
      </c>
    </row>
    <row r="15" spans="1:11" x14ac:dyDescent="0.35">
      <c r="A15" s="35"/>
      <c r="B15" s="24"/>
      <c r="C15" s="24"/>
      <c r="D15" s="36"/>
      <c r="E15" s="24"/>
      <c r="F15" s="35"/>
      <c r="G15" s="35"/>
      <c r="H15" s="46"/>
      <c r="I15" s="46"/>
      <c r="J15" s="37" t="str">
        <f>IF(A15="","",IF(OR(B15="",C15="",D15="",E15="",F15="",G15="",H15="",I15=""),"Incomplete - not counted",IF(OR(NOT(ISNUMBER(H15)),NOT(ISNUMBER(I15))),"Invalid dates - not counted",IF(OR(H15&lt;=0,I15&lt;H15),"Invalid dates - not counted",IF(OR(NOT(ISNUMBER(D15)),D15&lt;&gt;1),"Invalid issue count - not counted",IF(F15=G15,"Self-authorised - not counted",IF(H15&gt;Methodology!$B$4,"Authorisation date in future - not counted",IF(I15&lt;Methodology!$B$4,"Expired - not counted","Valid"))))))))</f>
        <v/>
      </c>
      <c r="K15" s="37">
        <f>IF(AND(J15="Valid",B15=Checks!$A$11),IF(SUMPRODUCT(('Risk Acceptance Register'!$A$6:$A$105&lt;&gt;"")*(('Risk Acceptance Register'!$A$6:$A$105&amp;" ("&amp;'Risk Acceptance Register'!$B$6:$B$105&amp;")")=C15)*('Risk Acceptance Register'!$O$6:$O$105="Insufficient authority"))&gt;0,1,0),0)</f>
        <v>0</v>
      </c>
    </row>
    <row r="16" spans="1:11" x14ac:dyDescent="0.35">
      <c r="A16" s="35"/>
      <c r="B16" s="24"/>
      <c r="C16" s="24"/>
      <c r="D16" s="36"/>
      <c r="E16" s="24"/>
      <c r="F16" s="35"/>
      <c r="G16" s="35"/>
      <c r="H16" s="46"/>
      <c r="I16" s="46"/>
      <c r="J16" s="37" t="str">
        <f>IF(A16="","",IF(OR(B16="",C16="",D16="",E16="",F16="",G16="",H16="",I16=""),"Incomplete - not counted",IF(OR(NOT(ISNUMBER(H16)),NOT(ISNUMBER(I16))),"Invalid dates - not counted",IF(OR(H16&lt;=0,I16&lt;H16),"Invalid dates - not counted",IF(OR(NOT(ISNUMBER(D16)),D16&lt;&gt;1),"Invalid issue count - not counted",IF(F16=G16,"Self-authorised - not counted",IF(H16&gt;Methodology!$B$4,"Authorisation date in future - not counted",IF(I16&lt;Methodology!$B$4,"Expired - not counted","Valid"))))))))</f>
        <v/>
      </c>
      <c r="K16" s="37">
        <f>IF(AND(J16="Valid",B16=Checks!$A$11),IF(SUMPRODUCT(('Risk Acceptance Register'!$A$6:$A$105&lt;&gt;"")*(('Risk Acceptance Register'!$A$6:$A$105&amp;" ("&amp;'Risk Acceptance Register'!$B$6:$B$105&amp;")")=C16)*('Risk Acceptance Register'!$O$6:$O$105="Insufficient authority"))&gt;0,1,0),0)</f>
        <v>0</v>
      </c>
    </row>
    <row r="17" spans="1:11" x14ac:dyDescent="0.35">
      <c r="A17" s="35"/>
      <c r="B17" s="24"/>
      <c r="C17" s="24"/>
      <c r="D17" s="36"/>
      <c r="E17" s="24"/>
      <c r="F17" s="35"/>
      <c r="G17" s="35"/>
      <c r="H17" s="46"/>
      <c r="I17" s="46"/>
      <c r="J17" s="37" t="str">
        <f>IF(A17="","",IF(OR(B17="",C17="",D17="",E17="",F17="",G17="",H17="",I17=""),"Incomplete - not counted",IF(OR(NOT(ISNUMBER(H17)),NOT(ISNUMBER(I17))),"Invalid dates - not counted",IF(OR(H17&lt;=0,I17&lt;H17),"Invalid dates - not counted",IF(OR(NOT(ISNUMBER(D17)),D17&lt;&gt;1),"Invalid issue count - not counted",IF(F17=G17,"Self-authorised - not counted",IF(H17&gt;Methodology!$B$4,"Authorisation date in future - not counted",IF(I17&lt;Methodology!$B$4,"Expired - not counted","Valid"))))))))</f>
        <v/>
      </c>
      <c r="K17" s="37">
        <f>IF(AND(J17="Valid",B17=Checks!$A$11),IF(SUMPRODUCT(('Risk Acceptance Register'!$A$6:$A$105&lt;&gt;"")*(('Risk Acceptance Register'!$A$6:$A$105&amp;" ("&amp;'Risk Acceptance Register'!$B$6:$B$105&amp;")")=C17)*('Risk Acceptance Register'!$O$6:$O$105="Insufficient authority"))&gt;0,1,0),0)</f>
        <v>0</v>
      </c>
    </row>
    <row r="18" spans="1:11" x14ac:dyDescent="0.35">
      <c r="A18" s="35"/>
      <c r="B18" s="24"/>
      <c r="C18" s="24"/>
      <c r="D18" s="36"/>
      <c r="E18" s="24"/>
      <c r="F18" s="35"/>
      <c r="G18" s="35"/>
      <c r="H18" s="46"/>
      <c r="I18" s="46"/>
      <c r="J18" s="37" t="str">
        <f>IF(A18="","",IF(OR(B18="",C18="",D18="",E18="",F18="",G18="",H18="",I18=""),"Incomplete - not counted",IF(OR(NOT(ISNUMBER(H18)),NOT(ISNUMBER(I18))),"Invalid dates - not counted",IF(OR(H18&lt;=0,I18&lt;H18),"Invalid dates - not counted",IF(OR(NOT(ISNUMBER(D18)),D18&lt;&gt;1),"Invalid issue count - not counted",IF(F18=G18,"Self-authorised - not counted",IF(H18&gt;Methodology!$B$4,"Authorisation date in future - not counted",IF(I18&lt;Methodology!$B$4,"Expired - not counted","Valid"))))))))</f>
        <v/>
      </c>
      <c r="K18" s="37">
        <f>IF(AND(J18="Valid",B18=Checks!$A$11),IF(SUMPRODUCT(('Risk Acceptance Register'!$A$6:$A$105&lt;&gt;"")*(('Risk Acceptance Register'!$A$6:$A$105&amp;" ("&amp;'Risk Acceptance Register'!$B$6:$B$105&amp;")")=C18)*('Risk Acceptance Register'!$O$6:$O$105="Insufficient authority"))&gt;0,1,0),0)</f>
        <v>0</v>
      </c>
    </row>
    <row r="19" spans="1:11" x14ac:dyDescent="0.35">
      <c r="A19" s="35"/>
      <c r="B19" s="24"/>
      <c r="C19" s="24"/>
      <c r="D19" s="36"/>
      <c r="E19" s="24"/>
      <c r="F19" s="35"/>
      <c r="G19" s="35"/>
      <c r="H19" s="46"/>
      <c r="I19" s="46"/>
      <c r="J19" s="37" t="str">
        <f>IF(A19="","",IF(OR(B19="",C19="",D19="",E19="",F19="",G19="",H19="",I19=""),"Incomplete - not counted",IF(OR(NOT(ISNUMBER(H19)),NOT(ISNUMBER(I19))),"Invalid dates - not counted",IF(OR(H19&lt;=0,I19&lt;H19),"Invalid dates - not counted",IF(OR(NOT(ISNUMBER(D19)),D19&lt;&gt;1),"Invalid issue count - not counted",IF(F19=G19,"Self-authorised - not counted",IF(H19&gt;Methodology!$B$4,"Authorisation date in future - not counted",IF(I19&lt;Methodology!$B$4,"Expired - not counted","Valid"))))))))</f>
        <v/>
      </c>
      <c r="K19" s="37">
        <f>IF(AND(J19="Valid",B19=Checks!$A$11),IF(SUMPRODUCT(('Risk Acceptance Register'!$A$6:$A$105&lt;&gt;"")*(('Risk Acceptance Register'!$A$6:$A$105&amp;" ("&amp;'Risk Acceptance Register'!$B$6:$B$105&amp;")")=C19)*('Risk Acceptance Register'!$O$6:$O$105="Insufficient authority"))&gt;0,1,0),0)</f>
        <v>0</v>
      </c>
    </row>
    <row r="20" spans="1:11" x14ac:dyDescent="0.35">
      <c r="A20" s="35"/>
      <c r="B20" s="24"/>
      <c r="C20" s="24"/>
      <c r="D20" s="36"/>
      <c r="E20" s="24"/>
      <c r="F20" s="35"/>
      <c r="G20" s="35"/>
      <c r="H20" s="46"/>
      <c r="I20" s="46"/>
      <c r="J20" s="37" t="str">
        <f>IF(A20="","",IF(OR(B20="",C20="",D20="",E20="",F20="",G20="",H20="",I20=""),"Incomplete - not counted",IF(OR(NOT(ISNUMBER(H20)),NOT(ISNUMBER(I20))),"Invalid dates - not counted",IF(OR(H20&lt;=0,I20&lt;H20),"Invalid dates - not counted",IF(OR(NOT(ISNUMBER(D20)),D20&lt;&gt;1),"Invalid issue count - not counted",IF(F20=G20,"Self-authorised - not counted",IF(H20&gt;Methodology!$B$4,"Authorisation date in future - not counted",IF(I20&lt;Methodology!$B$4,"Expired - not counted","Valid"))))))))</f>
        <v/>
      </c>
      <c r="K20" s="37">
        <f>IF(AND(J20="Valid",B20=Checks!$A$11),IF(SUMPRODUCT(('Risk Acceptance Register'!$A$6:$A$105&lt;&gt;"")*(('Risk Acceptance Register'!$A$6:$A$105&amp;" ("&amp;'Risk Acceptance Register'!$B$6:$B$105&amp;")")=C20)*('Risk Acceptance Register'!$O$6:$O$105="Insufficient authority"))&gt;0,1,0),0)</f>
        <v>0</v>
      </c>
    </row>
    <row r="21" spans="1:11" x14ac:dyDescent="0.35">
      <c r="A21" s="35"/>
      <c r="B21" s="24"/>
      <c r="C21" s="24"/>
      <c r="D21" s="36"/>
      <c r="E21" s="24"/>
      <c r="F21" s="35"/>
      <c r="G21" s="35"/>
      <c r="H21" s="46"/>
      <c r="I21" s="46"/>
      <c r="J21" s="37" t="str">
        <f>IF(A21="","",IF(OR(B21="",C21="",D21="",E21="",F21="",G21="",H21="",I21=""),"Incomplete - not counted",IF(OR(NOT(ISNUMBER(H21)),NOT(ISNUMBER(I21))),"Invalid dates - not counted",IF(OR(H21&lt;=0,I21&lt;H21),"Invalid dates - not counted",IF(OR(NOT(ISNUMBER(D21)),D21&lt;&gt;1),"Invalid issue count - not counted",IF(F21=G21,"Self-authorised - not counted",IF(H21&gt;Methodology!$B$4,"Authorisation date in future - not counted",IF(I21&lt;Methodology!$B$4,"Expired - not counted","Valid"))))))))</f>
        <v/>
      </c>
      <c r="K21" s="37">
        <f>IF(AND(J21="Valid",B21=Checks!$A$11),IF(SUMPRODUCT(('Risk Acceptance Register'!$A$6:$A$105&lt;&gt;"")*(('Risk Acceptance Register'!$A$6:$A$105&amp;" ("&amp;'Risk Acceptance Register'!$B$6:$B$105&amp;")")=C21)*('Risk Acceptance Register'!$O$6:$O$105="Insufficient authority"))&gt;0,1,0),0)</f>
        <v>0</v>
      </c>
    </row>
    <row r="22" spans="1:11" x14ac:dyDescent="0.35">
      <c r="A22" s="35"/>
      <c r="B22" s="24"/>
      <c r="C22" s="24"/>
      <c r="D22" s="36"/>
      <c r="E22" s="24"/>
      <c r="F22" s="35"/>
      <c r="G22" s="35"/>
      <c r="H22" s="46"/>
      <c r="I22" s="46"/>
      <c r="J22" s="37" t="str">
        <f>IF(A22="","",IF(OR(B22="",C22="",D22="",E22="",F22="",G22="",H22="",I22=""),"Incomplete - not counted",IF(OR(NOT(ISNUMBER(H22)),NOT(ISNUMBER(I22))),"Invalid dates - not counted",IF(OR(H22&lt;=0,I22&lt;H22),"Invalid dates - not counted",IF(OR(NOT(ISNUMBER(D22)),D22&lt;&gt;1),"Invalid issue count - not counted",IF(F22=G22,"Self-authorised - not counted",IF(H22&gt;Methodology!$B$4,"Authorisation date in future - not counted",IF(I22&lt;Methodology!$B$4,"Expired - not counted","Valid"))))))))</f>
        <v/>
      </c>
      <c r="K22" s="37">
        <f>IF(AND(J22="Valid",B22=Checks!$A$11),IF(SUMPRODUCT(('Risk Acceptance Register'!$A$6:$A$105&lt;&gt;"")*(('Risk Acceptance Register'!$A$6:$A$105&amp;" ("&amp;'Risk Acceptance Register'!$B$6:$B$105&amp;")")=C22)*('Risk Acceptance Register'!$O$6:$O$105="Insufficient authority"))&gt;0,1,0),0)</f>
        <v>0</v>
      </c>
    </row>
    <row r="23" spans="1:11" x14ac:dyDescent="0.35">
      <c r="A23" s="35"/>
      <c r="B23" s="24"/>
      <c r="C23" s="24"/>
      <c r="D23" s="36"/>
      <c r="E23" s="24"/>
      <c r="F23" s="35"/>
      <c r="G23" s="35"/>
      <c r="H23" s="46"/>
      <c r="I23" s="46"/>
      <c r="J23" s="37" t="str">
        <f>IF(A23="","",IF(OR(B23="",C23="",D23="",E23="",F23="",G23="",H23="",I23=""),"Incomplete - not counted",IF(OR(NOT(ISNUMBER(H23)),NOT(ISNUMBER(I23))),"Invalid dates - not counted",IF(OR(H23&lt;=0,I23&lt;H23),"Invalid dates - not counted",IF(OR(NOT(ISNUMBER(D23)),D23&lt;&gt;1),"Invalid issue count - not counted",IF(F23=G23,"Self-authorised - not counted",IF(H23&gt;Methodology!$B$4,"Authorisation date in future - not counted",IF(I23&lt;Methodology!$B$4,"Expired - not counted","Valid"))))))))</f>
        <v/>
      </c>
      <c r="K23" s="37">
        <f>IF(AND(J23="Valid",B23=Checks!$A$11),IF(SUMPRODUCT(('Risk Acceptance Register'!$A$6:$A$105&lt;&gt;"")*(('Risk Acceptance Register'!$A$6:$A$105&amp;" ("&amp;'Risk Acceptance Register'!$B$6:$B$105&amp;")")=C23)*('Risk Acceptance Register'!$O$6:$O$105="Insufficient authority"))&gt;0,1,0),0)</f>
        <v>0</v>
      </c>
    </row>
    <row r="24" spans="1:11" x14ac:dyDescent="0.35">
      <c r="A24" s="35"/>
      <c r="B24" s="24"/>
      <c r="C24" s="24"/>
      <c r="D24" s="36"/>
      <c r="E24" s="24"/>
      <c r="F24" s="35"/>
      <c r="G24" s="35"/>
      <c r="H24" s="46"/>
      <c r="I24" s="46"/>
      <c r="J24" s="37" t="str">
        <f>IF(A24="","",IF(OR(B24="",C24="",D24="",E24="",F24="",G24="",H24="",I24=""),"Incomplete - not counted",IF(OR(NOT(ISNUMBER(H24)),NOT(ISNUMBER(I24))),"Invalid dates - not counted",IF(OR(H24&lt;=0,I24&lt;H24),"Invalid dates - not counted",IF(OR(NOT(ISNUMBER(D24)),D24&lt;&gt;1),"Invalid issue count - not counted",IF(F24=G24,"Self-authorised - not counted",IF(H24&gt;Methodology!$B$4,"Authorisation date in future - not counted",IF(I24&lt;Methodology!$B$4,"Expired - not counted","Valid"))))))))</f>
        <v/>
      </c>
      <c r="K24" s="37">
        <f>IF(AND(J24="Valid",B24=Checks!$A$11),IF(SUMPRODUCT(('Risk Acceptance Register'!$A$6:$A$105&lt;&gt;"")*(('Risk Acceptance Register'!$A$6:$A$105&amp;" ("&amp;'Risk Acceptance Register'!$B$6:$B$105&amp;")")=C24)*('Risk Acceptance Register'!$O$6:$O$105="Insufficient authority"))&gt;0,1,0),0)</f>
        <v>0</v>
      </c>
    </row>
    <row r="25" spans="1:11" x14ac:dyDescent="0.35">
      <c r="A25" s="35"/>
      <c r="B25" s="24"/>
      <c r="C25" s="24"/>
      <c r="D25" s="36"/>
      <c r="E25" s="24"/>
      <c r="F25" s="35"/>
      <c r="G25" s="35"/>
      <c r="H25" s="46"/>
      <c r="I25" s="46"/>
      <c r="J25" s="37" t="str">
        <f>IF(A25="","",IF(OR(B25="",C25="",D25="",E25="",F25="",G25="",H25="",I25=""),"Incomplete - not counted",IF(OR(NOT(ISNUMBER(H25)),NOT(ISNUMBER(I25))),"Invalid dates - not counted",IF(OR(H25&lt;=0,I25&lt;H25),"Invalid dates - not counted",IF(OR(NOT(ISNUMBER(D25)),D25&lt;&gt;1),"Invalid issue count - not counted",IF(F25=G25,"Self-authorised - not counted",IF(H25&gt;Methodology!$B$4,"Authorisation date in future - not counted",IF(I25&lt;Methodology!$B$4,"Expired - not counted","Valid"))))))))</f>
        <v/>
      </c>
      <c r="K25" s="37">
        <f>IF(AND(J25="Valid",B25=Checks!$A$11),IF(SUMPRODUCT(('Risk Acceptance Register'!$A$6:$A$105&lt;&gt;"")*(('Risk Acceptance Register'!$A$6:$A$105&amp;" ("&amp;'Risk Acceptance Register'!$B$6:$B$105&amp;")")=C25)*('Risk Acceptance Register'!$O$6:$O$105="Insufficient authority"))&gt;0,1,0),0)</f>
        <v>0</v>
      </c>
    </row>
    <row r="26" spans="1:11" x14ac:dyDescent="0.35">
      <c r="A26" s="35"/>
      <c r="B26" s="24"/>
      <c r="C26" s="24"/>
      <c r="D26" s="36"/>
      <c r="E26" s="24"/>
      <c r="F26" s="35"/>
      <c r="G26" s="35"/>
      <c r="H26" s="46"/>
      <c r="I26" s="46"/>
      <c r="J26" s="37" t="str">
        <f>IF(A26="","",IF(OR(B26="",C26="",D26="",E26="",F26="",G26="",H26="",I26=""),"Incomplete - not counted",IF(OR(NOT(ISNUMBER(H26)),NOT(ISNUMBER(I26))),"Invalid dates - not counted",IF(OR(H26&lt;=0,I26&lt;H26),"Invalid dates - not counted",IF(OR(NOT(ISNUMBER(D26)),D26&lt;&gt;1),"Invalid issue count - not counted",IF(F26=G26,"Self-authorised - not counted",IF(H26&gt;Methodology!$B$4,"Authorisation date in future - not counted",IF(I26&lt;Methodology!$B$4,"Expired - not counted","Valid"))))))))</f>
        <v/>
      </c>
      <c r="K26" s="37">
        <f>IF(AND(J26="Valid",B26=Checks!$A$11),IF(SUMPRODUCT(('Risk Acceptance Register'!$A$6:$A$105&lt;&gt;"")*(('Risk Acceptance Register'!$A$6:$A$105&amp;" ("&amp;'Risk Acceptance Register'!$B$6:$B$105&amp;")")=C26)*('Risk Acceptance Register'!$O$6:$O$105="Insufficient authority"))&gt;0,1,0),0)</f>
        <v>0</v>
      </c>
    </row>
    <row r="27" spans="1:11" x14ac:dyDescent="0.35">
      <c r="A27" s="35"/>
      <c r="B27" s="24"/>
      <c r="C27" s="24"/>
      <c r="D27" s="36"/>
      <c r="E27" s="24"/>
      <c r="F27" s="35"/>
      <c r="G27" s="35"/>
      <c r="H27" s="46"/>
      <c r="I27" s="46"/>
      <c r="J27" s="37" t="str">
        <f>IF(A27="","",IF(OR(B27="",C27="",D27="",E27="",F27="",G27="",H27="",I27=""),"Incomplete - not counted",IF(OR(NOT(ISNUMBER(H27)),NOT(ISNUMBER(I27))),"Invalid dates - not counted",IF(OR(H27&lt;=0,I27&lt;H27),"Invalid dates - not counted",IF(OR(NOT(ISNUMBER(D27)),D27&lt;&gt;1),"Invalid issue count - not counted",IF(F27=G27,"Self-authorised - not counted",IF(H27&gt;Methodology!$B$4,"Authorisation date in future - not counted",IF(I27&lt;Methodology!$B$4,"Expired - not counted","Valid"))))))))</f>
        <v/>
      </c>
      <c r="K27" s="37">
        <f>IF(AND(J27="Valid",B27=Checks!$A$11),IF(SUMPRODUCT(('Risk Acceptance Register'!$A$6:$A$105&lt;&gt;"")*(('Risk Acceptance Register'!$A$6:$A$105&amp;" ("&amp;'Risk Acceptance Register'!$B$6:$B$105&amp;")")=C27)*('Risk Acceptance Register'!$O$6:$O$105="Insufficient authority"))&gt;0,1,0),0)</f>
        <v>0</v>
      </c>
    </row>
    <row r="28" spans="1:11" x14ac:dyDescent="0.35">
      <c r="A28" s="35"/>
      <c r="B28" s="24"/>
      <c r="C28" s="24"/>
      <c r="D28" s="36"/>
      <c r="E28" s="24"/>
      <c r="F28" s="35"/>
      <c r="G28" s="35"/>
      <c r="H28" s="46"/>
      <c r="I28" s="46"/>
      <c r="J28" s="37" t="str">
        <f>IF(A28="","",IF(OR(B28="",C28="",D28="",E28="",F28="",G28="",H28="",I28=""),"Incomplete - not counted",IF(OR(NOT(ISNUMBER(H28)),NOT(ISNUMBER(I28))),"Invalid dates - not counted",IF(OR(H28&lt;=0,I28&lt;H28),"Invalid dates - not counted",IF(OR(NOT(ISNUMBER(D28)),D28&lt;&gt;1),"Invalid issue count - not counted",IF(F28=G28,"Self-authorised - not counted",IF(H28&gt;Methodology!$B$4,"Authorisation date in future - not counted",IF(I28&lt;Methodology!$B$4,"Expired - not counted","Valid"))))))))</f>
        <v/>
      </c>
      <c r="K28" s="37">
        <f>IF(AND(J28="Valid",B28=Checks!$A$11),IF(SUMPRODUCT(('Risk Acceptance Register'!$A$6:$A$105&lt;&gt;"")*(('Risk Acceptance Register'!$A$6:$A$105&amp;" ("&amp;'Risk Acceptance Register'!$B$6:$B$105&amp;")")=C28)*('Risk Acceptance Register'!$O$6:$O$105="Insufficient authority"))&gt;0,1,0),0)</f>
        <v>0</v>
      </c>
    </row>
    <row r="29" spans="1:11" x14ac:dyDescent="0.35">
      <c r="A29" s="35"/>
      <c r="B29" s="24"/>
      <c r="C29" s="24"/>
      <c r="D29" s="36"/>
      <c r="E29" s="24"/>
      <c r="F29" s="35"/>
      <c r="G29" s="35"/>
      <c r="H29" s="46"/>
      <c r="I29" s="46"/>
      <c r="J29" s="37" t="str">
        <f>IF(A29="","",IF(OR(B29="",C29="",D29="",E29="",F29="",G29="",H29="",I29=""),"Incomplete - not counted",IF(OR(NOT(ISNUMBER(H29)),NOT(ISNUMBER(I29))),"Invalid dates - not counted",IF(OR(H29&lt;=0,I29&lt;H29),"Invalid dates - not counted",IF(OR(NOT(ISNUMBER(D29)),D29&lt;&gt;1),"Invalid issue count - not counted",IF(F29=G29,"Self-authorised - not counted",IF(H29&gt;Methodology!$B$4,"Authorisation date in future - not counted",IF(I29&lt;Methodology!$B$4,"Expired - not counted","Valid"))))))))</f>
        <v/>
      </c>
      <c r="K29" s="37">
        <f>IF(AND(J29="Valid",B29=Checks!$A$11),IF(SUMPRODUCT(('Risk Acceptance Register'!$A$6:$A$105&lt;&gt;"")*(('Risk Acceptance Register'!$A$6:$A$105&amp;" ("&amp;'Risk Acceptance Register'!$B$6:$B$105&amp;")")=C29)*('Risk Acceptance Register'!$O$6:$O$105="Insufficient authority"))&gt;0,1,0),0)</f>
        <v>0</v>
      </c>
    </row>
    <row r="30" spans="1:11" x14ac:dyDescent="0.35">
      <c r="A30" s="35"/>
      <c r="B30" s="24"/>
      <c r="C30" s="24"/>
      <c r="D30" s="36"/>
      <c r="E30" s="24"/>
      <c r="F30" s="35"/>
      <c r="G30" s="35"/>
      <c r="H30" s="46"/>
      <c r="I30" s="46"/>
      <c r="J30" s="37" t="str">
        <f>IF(A30="","",IF(OR(B30="",C30="",D30="",E30="",F30="",G30="",H30="",I30=""),"Incomplete - not counted",IF(OR(NOT(ISNUMBER(H30)),NOT(ISNUMBER(I30))),"Invalid dates - not counted",IF(OR(H30&lt;=0,I30&lt;H30),"Invalid dates - not counted",IF(OR(NOT(ISNUMBER(D30)),D30&lt;&gt;1),"Invalid issue count - not counted",IF(F30=G30,"Self-authorised - not counted",IF(H30&gt;Methodology!$B$4,"Authorisation date in future - not counted",IF(I30&lt;Methodology!$B$4,"Expired - not counted","Valid"))))))))</f>
        <v/>
      </c>
      <c r="K30" s="37">
        <f>IF(AND(J30="Valid",B30=Checks!$A$11),IF(SUMPRODUCT(('Risk Acceptance Register'!$A$6:$A$105&lt;&gt;"")*(('Risk Acceptance Register'!$A$6:$A$105&amp;" ("&amp;'Risk Acceptance Register'!$B$6:$B$105&amp;")")=C30)*('Risk Acceptance Register'!$O$6:$O$105="Insufficient authority"))&gt;0,1,0),0)</f>
        <v>0</v>
      </c>
    </row>
    <row r="31" spans="1:11" x14ac:dyDescent="0.35">
      <c r="A31" s="35"/>
      <c r="B31" s="24"/>
      <c r="C31" s="24"/>
      <c r="D31" s="36"/>
      <c r="E31" s="24"/>
      <c r="F31" s="35"/>
      <c r="G31" s="35"/>
      <c r="H31" s="46"/>
      <c r="I31" s="46"/>
      <c r="J31" s="37" t="str">
        <f>IF(A31="","",IF(OR(B31="",C31="",D31="",E31="",F31="",G31="",H31="",I31=""),"Incomplete - not counted",IF(OR(NOT(ISNUMBER(H31)),NOT(ISNUMBER(I31))),"Invalid dates - not counted",IF(OR(H31&lt;=0,I31&lt;H31),"Invalid dates - not counted",IF(OR(NOT(ISNUMBER(D31)),D31&lt;&gt;1),"Invalid issue count - not counted",IF(F31=G31,"Self-authorised - not counted",IF(H31&gt;Methodology!$B$4,"Authorisation date in future - not counted",IF(I31&lt;Methodology!$B$4,"Expired - not counted","Valid"))))))))</f>
        <v/>
      </c>
      <c r="K31" s="37">
        <f>IF(AND(J31="Valid",B31=Checks!$A$11),IF(SUMPRODUCT(('Risk Acceptance Register'!$A$6:$A$105&lt;&gt;"")*(('Risk Acceptance Register'!$A$6:$A$105&amp;" ("&amp;'Risk Acceptance Register'!$B$6:$B$105&amp;")")=C31)*('Risk Acceptance Register'!$O$6:$O$105="Insufficient authority"))&gt;0,1,0),0)</f>
        <v>0</v>
      </c>
    </row>
    <row r="32" spans="1:11" x14ac:dyDescent="0.35">
      <c r="A32" s="35"/>
      <c r="B32" s="24"/>
      <c r="C32" s="24"/>
      <c r="D32" s="36"/>
      <c r="E32" s="24"/>
      <c r="F32" s="35"/>
      <c r="G32" s="35"/>
      <c r="H32" s="46"/>
      <c r="I32" s="46"/>
      <c r="J32" s="37" t="str">
        <f>IF(A32="","",IF(OR(B32="",C32="",D32="",E32="",F32="",G32="",H32="",I32=""),"Incomplete - not counted",IF(OR(NOT(ISNUMBER(H32)),NOT(ISNUMBER(I32))),"Invalid dates - not counted",IF(OR(H32&lt;=0,I32&lt;H32),"Invalid dates - not counted",IF(OR(NOT(ISNUMBER(D32)),D32&lt;&gt;1),"Invalid issue count - not counted",IF(F32=G32,"Self-authorised - not counted",IF(H32&gt;Methodology!$B$4,"Authorisation date in future - not counted",IF(I32&lt;Methodology!$B$4,"Expired - not counted","Valid"))))))))</f>
        <v/>
      </c>
      <c r="K32" s="37">
        <f>IF(AND(J32="Valid",B32=Checks!$A$11),IF(SUMPRODUCT(('Risk Acceptance Register'!$A$6:$A$105&lt;&gt;"")*(('Risk Acceptance Register'!$A$6:$A$105&amp;" ("&amp;'Risk Acceptance Register'!$B$6:$B$105&amp;")")=C32)*('Risk Acceptance Register'!$O$6:$O$105="Insufficient authority"))&gt;0,1,0),0)</f>
        <v>0</v>
      </c>
    </row>
    <row r="33" spans="1:11" x14ac:dyDescent="0.35">
      <c r="A33" s="35"/>
      <c r="B33" s="24"/>
      <c r="C33" s="24"/>
      <c r="D33" s="36"/>
      <c r="E33" s="24"/>
      <c r="F33" s="35"/>
      <c r="G33" s="35"/>
      <c r="H33" s="46"/>
      <c r="I33" s="46"/>
      <c r="J33" s="37" t="str">
        <f>IF(A33="","",IF(OR(B33="",C33="",D33="",E33="",F33="",G33="",H33="",I33=""),"Incomplete - not counted",IF(OR(NOT(ISNUMBER(H33)),NOT(ISNUMBER(I33))),"Invalid dates - not counted",IF(OR(H33&lt;=0,I33&lt;H33),"Invalid dates - not counted",IF(OR(NOT(ISNUMBER(D33)),D33&lt;&gt;1),"Invalid issue count - not counted",IF(F33=G33,"Self-authorised - not counted",IF(H33&gt;Methodology!$B$4,"Authorisation date in future - not counted",IF(I33&lt;Methodology!$B$4,"Expired - not counted","Valid"))))))))</f>
        <v/>
      </c>
      <c r="K33" s="37">
        <f>IF(AND(J33="Valid",B33=Checks!$A$11),IF(SUMPRODUCT(('Risk Acceptance Register'!$A$6:$A$105&lt;&gt;"")*(('Risk Acceptance Register'!$A$6:$A$105&amp;" ("&amp;'Risk Acceptance Register'!$B$6:$B$105&amp;")")=C33)*('Risk Acceptance Register'!$O$6:$O$105="Insufficient authority"))&gt;0,1,0),0)</f>
        <v>0</v>
      </c>
    </row>
    <row r="34" spans="1:11" x14ac:dyDescent="0.35">
      <c r="A34" s="35"/>
      <c r="B34" s="24"/>
      <c r="C34" s="24"/>
      <c r="D34" s="36"/>
      <c r="E34" s="24"/>
      <c r="F34" s="35"/>
      <c r="G34" s="35"/>
      <c r="H34" s="46"/>
      <c r="I34" s="46"/>
      <c r="J34" s="37" t="str">
        <f>IF(A34="","",IF(OR(B34="",C34="",D34="",E34="",F34="",G34="",H34="",I34=""),"Incomplete - not counted",IF(OR(NOT(ISNUMBER(H34)),NOT(ISNUMBER(I34))),"Invalid dates - not counted",IF(OR(H34&lt;=0,I34&lt;H34),"Invalid dates - not counted",IF(OR(NOT(ISNUMBER(D34)),D34&lt;&gt;1),"Invalid issue count - not counted",IF(F34=G34,"Self-authorised - not counted",IF(H34&gt;Methodology!$B$4,"Authorisation date in future - not counted",IF(I34&lt;Methodology!$B$4,"Expired - not counted","Valid"))))))))</f>
        <v/>
      </c>
      <c r="K34" s="37">
        <f>IF(AND(J34="Valid",B34=Checks!$A$11),IF(SUMPRODUCT(('Risk Acceptance Register'!$A$6:$A$105&lt;&gt;"")*(('Risk Acceptance Register'!$A$6:$A$105&amp;" ("&amp;'Risk Acceptance Register'!$B$6:$B$105&amp;")")=C34)*('Risk Acceptance Register'!$O$6:$O$105="Insufficient authority"))&gt;0,1,0),0)</f>
        <v>0</v>
      </c>
    </row>
    <row r="35" spans="1:11" x14ac:dyDescent="0.35">
      <c r="A35" s="35"/>
      <c r="B35" s="24"/>
      <c r="C35" s="24"/>
      <c r="D35" s="36"/>
      <c r="E35" s="24"/>
      <c r="F35" s="35"/>
      <c r="G35" s="35"/>
      <c r="H35" s="46"/>
      <c r="I35" s="46"/>
      <c r="J35" s="37" t="str">
        <f>IF(A35="","",IF(OR(B35="",C35="",D35="",E35="",F35="",G35="",H35="",I35=""),"Incomplete - not counted",IF(OR(NOT(ISNUMBER(H35)),NOT(ISNUMBER(I35))),"Invalid dates - not counted",IF(OR(H35&lt;=0,I35&lt;H35),"Invalid dates - not counted",IF(OR(NOT(ISNUMBER(D35)),D35&lt;&gt;1),"Invalid issue count - not counted",IF(F35=G35,"Self-authorised - not counted",IF(H35&gt;Methodology!$B$4,"Authorisation date in future - not counted",IF(I35&lt;Methodology!$B$4,"Expired - not counted","Valid"))))))))</f>
        <v/>
      </c>
      <c r="K35" s="37">
        <f>IF(AND(J35="Valid",B35=Checks!$A$11),IF(SUMPRODUCT(('Risk Acceptance Register'!$A$6:$A$105&lt;&gt;"")*(('Risk Acceptance Register'!$A$6:$A$105&amp;" ("&amp;'Risk Acceptance Register'!$B$6:$B$105&amp;")")=C35)*('Risk Acceptance Register'!$O$6:$O$105="Insufficient authority"))&gt;0,1,0),0)</f>
        <v>0</v>
      </c>
    </row>
    <row r="36" spans="1:11" x14ac:dyDescent="0.35">
      <c r="A36" s="35"/>
      <c r="B36" s="24"/>
      <c r="C36" s="24"/>
      <c r="D36" s="36"/>
      <c r="E36" s="24"/>
      <c r="F36" s="35"/>
      <c r="G36" s="35"/>
      <c r="H36" s="46"/>
      <c r="I36" s="46"/>
      <c r="J36" s="37" t="str">
        <f>IF(A36="","",IF(OR(B36="",C36="",D36="",E36="",F36="",G36="",H36="",I36=""),"Incomplete - not counted",IF(OR(NOT(ISNUMBER(H36)),NOT(ISNUMBER(I36))),"Invalid dates - not counted",IF(OR(H36&lt;=0,I36&lt;H36),"Invalid dates - not counted",IF(OR(NOT(ISNUMBER(D36)),D36&lt;&gt;1),"Invalid issue count - not counted",IF(F36=G36,"Self-authorised - not counted",IF(H36&gt;Methodology!$B$4,"Authorisation date in future - not counted",IF(I36&lt;Methodology!$B$4,"Expired - not counted","Valid"))))))))</f>
        <v/>
      </c>
      <c r="K36" s="37">
        <f>IF(AND(J36="Valid",B36=Checks!$A$11),IF(SUMPRODUCT(('Risk Acceptance Register'!$A$6:$A$105&lt;&gt;"")*(('Risk Acceptance Register'!$A$6:$A$105&amp;" ("&amp;'Risk Acceptance Register'!$B$6:$B$105&amp;")")=C36)*('Risk Acceptance Register'!$O$6:$O$105="Insufficient authority"))&gt;0,1,0),0)</f>
        <v>0</v>
      </c>
    </row>
    <row r="37" spans="1:11" x14ac:dyDescent="0.35">
      <c r="A37" s="35"/>
      <c r="B37" s="24"/>
      <c r="C37" s="24"/>
      <c r="D37" s="36"/>
      <c r="E37" s="24"/>
      <c r="F37" s="35"/>
      <c r="G37" s="35"/>
      <c r="H37" s="46"/>
      <c r="I37" s="46"/>
      <c r="J37" s="37" t="str">
        <f>IF(A37="","",IF(OR(B37="",C37="",D37="",E37="",F37="",G37="",H37="",I37=""),"Incomplete - not counted",IF(OR(NOT(ISNUMBER(H37)),NOT(ISNUMBER(I37))),"Invalid dates - not counted",IF(OR(H37&lt;=0,I37&lt;H37),"Invalid dates - not counted",IF(OR(NOT(ISNUMBER(D37)),D37&lt;&gt;1),"Invalid issue count - not counted",IF(F37=G37,"Self-authorised - not counted",IF(H37&gt;Methodology!$B$4,"Authorisation date in future - not counted",IF(I37&lt;Methodology!$B$4,"Expired - not counted","Valid"))))))))</f>
        <v/>
      </c>
      <c r="K37" s="37">
        <f>IF(AND(J37="Valid",B37=Checks!$A$11),IF(SUMPRODUCT(('Risk Acceptance Register'!$A$6:$A$105&lt;&gt;"")*(('Risk Acceptance Register'!$A$6:$A$105&amp;" ("&amp;'Risk Acceptance Register'!$B$6:$B$105&amp;")")=C37)*('Risk Acceptance Register'!$O$6:$O$105="Insufficient authority"))&gt;0,1,0),0)</f>
        <v>0</v>
      </c>
    </row>
    <row r="38" spans="1:11" x14ac:dyDescent="0.35">
      <c r="A38" s="35"/>
      <c r="B38" s="24"/>
      <c r="C38" s="24"/>
      <c r="D38" s="36"/>
      <c r="E38" s="24"/>
      <c r="F38" s="35"/>
      <c r="G38" s="35"/>
      <c r="H38" s="46"/>
      <c r="I38" s="46"/>
      <c r="J38" s="37" t="str">
        <f>IF(A38="","",IF(OR(B38="",C38="",D38="",E38="",F38="",G38="",H38="",I38=""),"Incomplete - not counted",IF(OR(NOT(ISNUMBER(H38)),NOT(ISNUMBER(I38))),"Invalid dates - not counted",IF(OR(H38&lt;=0,I38&lt;H38),"Invalid dates - not counted",IF(OR(NOT(ISNUMBER(D38)),D38&lt;&gt;1),"Invalid issue count - not counted",IF(F38=G38,"Self-authorised - not counted",IF(H38&gt;Methodology!$B$4,"Authorisation date in future - not counted",IF(I38&lt;Methodology!$B$4,"Expired - not counted","Valid"))))))))</f>
        <v/>
      </c>
      <c r="K38" s="37">
        <f>IF(AND(J38="Valid",B38=Checks!$A$11),IF(SUMPRODUCT(('Risk Acceptance Register'!$A$6:$A$105&lt;&gt;"")*(('Risk Acceptance Register'!$A$6:$A$105&amp;" ("&amp;'Risk Acceptance Register'!$B$6:$B$105&amp;")")=C38)*('Risk Acceptance Register'!$O$6:$O$105="Insufficient authority"))&gt;0,1,0),0)</f>
        <v>0</v>
      </c>
    </row>
    <row r="39" spans="1:11" x14ac:dyDescent="0.35">
      <c r="A39" s="35"/>
      <c r="B39" s="24"/>
      <c r="C39" s="24"/>
      <c r="D39" s="36"/>
      <c r="E39" s="24"/>
      <c r="F39" s="35"/>
      <c r="G39" s="35"/>
      <c r="H39" s="46"/>
      <c r="I39" s="46"/>
      <c r="J39" s="37" t="str">
        <f>IF(A39="","",IF(OR(B39="",C39="",D39="",E39="",F39="",G39="",H39="",I39=""),"Incomplete - not counted",IF(OR(NOT(ISNUMBER(H39)),NOT(ISNUMBER(I39))),"Invalid dates - not counted",IF(OR(H39&lt;=0,I39&lt;H39),"Invalid dates - not counted",IF(OR(NOT(ISNUMBER(D39)),D39&lt;&gt;1),"Invalid issue count - not counted",IF(F39=G39,"Self-authorised - not counted",IF(H39&gt;Methodology!$B$4,"Authorisation date in future - not counted",IF(I39&lt;Methodology!$B$4,"Expired - not counted","Valid"))))))))</f>
        <v/>
      </c>
      <c r="K39" s="37">
        <f>IF(AND(J39="Valid",B39=Checks!$A$11),IF(SUMPRODUCT(('Risk Acceptance Register'!$A$6:$A$105&lt;&gt;"")*(('Risk Acceptance Register'!$A$6:$A$105&amp;" ("&amp;'Risk Acceptance Register'!$B$6:$B$105&amp;")")=C39)*('Risk Acceptance Register'!$O$6:$O$105="Insufficient authority"))&gt;0,1,0),0)</f>
        <v>0</v>
      </c>
    </row>
    <row r="40" spans="1:11" x14ac:dyDescent="0.35">
      <c r="A40" s="35"/>
      <c r="B40" s="24"/>
      <c r="C40" s="24"/>
      <c r="D40" s="36"/>
      <c r="E40" s="24"/>
      <c r="F40" s="35"/>
      <c r="G40" s="35"/>
      <c r="H40" s="46"/>
      <c r="I40" s="46"/>
      <c r="J40" s="37" t="str">
        <f>IF(A40="","",IF(OR(B40="",C40="",D40="",E40="",F40="",G40="",H40="",I40=""),"Incomplete - not counted",IF(OR(NOT(ISNUMBER(H40)),NOT(ISNUMBER(I40))),"Invalid dates - not counted",IF(OR(H40&lt;=0,I40&lt;H40),"Invalid dates - not counted",IF(OR(NOT(ISNUMBER(D40)),D40&lt;&gt;1),"Invalid issue count - not counted",IF(F40=G40,"Self-authorised - not counted",IF(H40&gt;Methodology!$B$4,"Authorisation date in future - not counted",IF(I40&lt;Methodology!$B$4,"Expired - not counted","Valid"))))))))</f>
        <v/>
      </c>
      <c r="K40" s="37">
        <f>IF(AND(J40="Valid",B40=Checks!$A$11),IF(SUMPRODUCT(('Risk Acceptance Register'!$A$6:$A$105&lt;&gt;"")*(('Risk Acceptance Register'!$A$6:$A$105&amp;" ("&amp;'Risk Acceptance Register'!$B$6:$B$105&amp;")")=C40)*('Risk Acceptance Register'!$O$6:$O$105="Insufficient authority"))&gt;0,1,0),0)</f>
        <v>0</v>
      </c>
    </row>
    <row r="41" spans="1:11" x14ac:dyDescent="0.35">
      <c r="A41" s="35"/>
      <c r="B41" s="24"/>
      <c r="C41" s="24"/>
      <c r="D41" s="36"/>
      <c r="E41" s="24"/>
      <c r="F41" s="35"/>
      <c r="G41" s="35"/>
      <c r="H41" s="46"/>
      <c r="I41" s="46"/>
      <c r="J41" s="37" t="str">
        <f>IF(A41="","",IF(OR(B41="",C41="",D41="",E41="",F41="",G41="",H41="",I41=""),"Incomplete - not counted",IF(OR(NOT(ISNUMBER(H41)),NOT(ISNUMBER(I41))),"Invalid dates - not counted",IF(OR(H41&lt;=0,I41&lt;H41),"Invalid dates - not counted",IF(OR(NOT(ISNUMBER(D41)),D41&lt;&gt;1),"Invalid issue count - not counted",IF(F41=G41,"Self-authorised - not counted",IF(H41&gt;Methodology!$B$4,"Authorisation date in future - not counted",IF(I41&lt;Methodology!$B$4,"Expired - not counted","Valid"))))))))</f>
        <v/>
      </c>
      <c r="K41" s="37">
        <f>IF(AND(J41="Valid",B41=Checks!$A$11),IF(SUMPRODUCT(('Risk Acceptance Register'!$A$6:$A$105&lt;&gt;"")*(('Risk Acceptance Register'!$A$6:$A$105&amp;" ("&amp;'Risk Acceptance Register'!$B$6:$B$105&amp;")")=C41)*('Risk Acceptance Register'!$O$6:$O$105="Insufficient authority"))&gt;0,1,0),0)</f>
        <v>0</v>
      </c>
    </row>
    <row r="42" spans="1:11" x14ac:dyDescent="0.35">
      <c r="A42" s="35"/>
      <c r="B42" s="24"/>
      <c r="C42" s="24"/>
      <c r="D42" s="36"/>
      <c r="E42" s="24"/>
      <c r="F42" s="35"/>
      <c r="G42" s="35"/>
      <c r="H42" s="46"/>
      <c r="I42" s="46"/>
      <c r="J42" s="37" t="str">
        <f>IF(A42="","",IF(OR(B42="",C42="",D42="",E42="",F42="",G42="",H42="",I42=""),"Incomplete - not counted",IF(OR(NOT(ISNUMBER(H42)),NOT(ISNUMBER(I42))),"Invalid dates - not counted",IF(OR(H42&lt;=0,I42&lt;H42),"Invalid dates - not counted",IF(OR(NOT(ISNUMBER(D42)),D42&lt;&gt;1),"Invalid issue count - not counted",IF(F42=G42,"Self-authorised - not counted",IF(H42&gt;Methodology!$B$4,"Authorisation date in future - not counted",IF(I42&lt;Methodology!$B$4,"Expired - not counted","Valid"))))))))</f>
        <v/>
      </c>
      <c r="K42" s="37">
        <f>IF(AND(J42="Valid",B42=Checks!$A$11),IF(SUMPRODUCT(('Risk Acceptance Register'!$A$6:$A$105&lt;&gt;"")*(('Risk Acceptance Register'!$A$6:$A$105&amp;" ("&amp;'Risk Acceptance Register'!$B$6:$B$105&amp;")")=C42)*('Risk Acceptance Register'!$O$6:$O$105="Insufficient authority"))&gt;0,1,0),0)</f>
        <v>0</v>
      </c>
    </row>
    <row r="43" spans="1:11" x14ac:dyDescent="0.35">
      <c r="A43" s="35"/>
      <c r="B43" s="24"/>
      <c r="C43" s="24"/>
      <c r="D43" s="36"/>
      <c r="E43" s="24"/>
      <c r="F43" s="35"/>
      <c r="G43" s="35"/>
      <c r="H43" s="46"/>
      <c r="I43" s="46"/>
      <c r="J43" s="37" t="str">
        <f>IF(A43="","",IF(OR(B43="",C43="",D43="",E43="",F43="",G43="",H43="",I43=""),"Incomplete - not counted",IF(OR(NOT(ISNUMBER(H43)),NOT(ISNUMBER(I43))),"Invalid dates - not counted",IF(OR(H43&lt;=0,I43&lt;H43),"Invalid dates - not counted",IF(OR(NOT(ISNUMBER(D43)),D43&lt;&gt;1),"Invalid issue count - not counted",IF(F43=G43,"Self-authorised - not counted",IF(H43&gt;Methodology!$B$4,"Authorisation date in future - not counted",IF(I43&lt;Methodology!$B$4,"Expired - not counted","Valid"))))))))</f>
        <v/>
      </c>
      <c r="K43" s="37">
        <f>IF(AND(J43="Valid",B43=Checks!$A$11),IF(SUMPRODUCT(('Risk Acceptance Register'!$A$6:$A$105&lt;&gt;"")*(('Risk Acceptance Register'!$A$6:$A$105&amp;" ("&amp;'Risk Acceptance Register'!$B$6:$B$105&amp;")")=C43)*('Risk Acceptance Register'!$O$6:$O$105="Insufficient authority"))&gt;0,1,0),0)</f>
        <v>0</v>
      </c>
    </row>
    <row r="44" spans="1:11" x14ac:dyDescent="0.35">
      <c r="A44" s="35"/>
      <c r="B44" s="24"/>
      <c r="C44" s="24"/>
      <c r="D44" s="36"/>
      <c r="E44" s="24"/>
      <c r="F44" s="35"/>
      <c r="G44" s="35"/>
      <c r="H44" s="46"/>
      <c r="I44" s="46"/>
      <c r="J44" s="37" t="str">
        <f>IF(A44="","",IF(OR(B44="",C44="",D44="",E44="",F44="",G44="",H44="",I44=""),"Incomplete - not counted",IF(OR(NOT(ISNUMBER(H44)),NOT(ISNUMBER(I44))),"Invalid dates - not counted",IF(OR(H44&lt;=0,I44&lt;H44),"Invalid dates - not counted",IF(OR(NOT(ISNUMBER(D44)),D44&lt;&gt;1),"Invalid issue count - not counted",IF(F44=G44,"Self-authorised - not counted",IF(H44&gt;Methodology!$B$4,"Authorisation date in future - not counted",IF(I44&lt;Methodology!$B$4,"Expired - not counted","Valid"))))))))</f>
        <v/>
      </c>
      <c r="K44" s="37">
        <f>IF(AND(J44="Valid",B44=Checks!$A$11),IF(SUMPRODUCT(('Risk Acceptance Register'!$A$6:$A$105&lt;&gt;"")*(('Risk Acceptance Register'!$A$6:$A$105&amp;" ("&amp;'Risk Acceptance Register'!$B$6:$B$105&amp;")")=C44)*('Risk Acceptance Register'!$O$6:$O$105="Insufficient authority"))&gt;0,1,0),0)</f>
        <v>0</v>
      </c>
    </row>
    <row r="45" spans="1:11" x14ac:dyDescent="0.35">
      <c r="A45" s="35"/>
      <c r="B45" s="24"/>
      <c r="C45" s="24"/>
      <c r="D45" s="36"/>
      <c r="E45" s="24"/>
      <c r="F45" s="35"/>
      <c r="G45" s="35"/>
      <c r="H45" s="46"/>
      <c r="I45" s="46"/>
      <c r="J45" s="37" t="str">
        <f>IF(A45="","",IF(OR(B45="",C45="",D45="",E45="",F45="",G45="",H45="",I45=""),"Incomplete - not counted",IF(OR(NOT(ISNUMBER(H45)),NOT(ISNUMBER(I45))),"Invalid dates - not counted",IF(OR(H45&lt;=0,I45&lt;H45),"Invalid dates - not counted",IF(OR(NOT(ISNUMBER(D45)),D45&lt;&gt;1),"Invalid issue count - not counted",IF(F45=G45,"Self-authorised - not counted",IF(H45&gt;Methodology!$B$4,"Authorisation date in future - not counted",IF(I45&lt;Methodology!$B$4,"Expired - not counted","Valid"))))))))</f>
        <v/>
      </c>
      <c r="K45" s="37">
        <f>IF(AND(J45="Valid",B45=Checks!$A$11),IF(SUMPRODUCT(('Risk Acceptance Register'!$A$6:$A$105&lt;&gt;"")*(('Risk Acceptance Register'!$A$6:$A$105&amp;" ("&amp;'Risk Acceptance Register'!$B$6:$B$105&amp;")")=C45)*('Risk Acceptance Register'!$O$6:$O$105="Insufficient authority"))&gt;0,1,0),0)</f>
        <v>0</v>
      </c>
    </row>
  </sheetData>
  <autoFilter ref="A5:K45" xr:uid="{00000000-0001-0000-1300-000000000000}"/>
  <conditionalFormatting sqref="J6:J45">
    <cfRule type="expression" dxfId="8" priority="2">
      <formula>J6="Valid"</formula>
    </cfRule>
    <cfRule type="expression" dxfId="7" priority="3">
      <formula>AND(J6&lt;&gt;"",J6&lt;&gt;"Valid")</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r:uid="{00000000-0002-0000-1300-000000000000}">
          <x14:formula1>
            <xm:f>Checks!$A$5:$A$40</xm:f>
          </x14:formula1>
          <x14:formula2>
            <xm:f>0</xm:f>
          </x14:formula2>
          <xm:sqref>B6:B45</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2F5597"/>
  </sheetPr>
  <dimension ref="A1:E28"/>
  <sheetViews>
    <sheetView showGridLines="0" workbookViewId="0"/>
  </sheetViews>
  <sheetFormatPr defaultColWidth="8.6328125" defaultRowHeight="14.5" x14ac:dyDescent="0.35"/>
  <cols>
    <col min="1" max="2" width="30" customWidth="1"/>
    <col min="3" max="3" width="18" customWidth="1"/>
    <col min="4" max="4" width="16" customWidth="1"/>
    <col min="5" max="5" width="24" customWidth="1"/>
  </cols>
  <sheetData>
    <row r="1" spans="1:5" ht="20" x14ac:dyDescent="0.4">
      <c r="A1" s="2" t="s">
        <v>742</v>
      </c>
    </row>
    <row r="2" spans="1:5" ht="42" customHeight="1" x14ac:dyDescent="0.35">
      <c r="A2" s="74" t="s">
        <v>827</v>
      </c>
      <c r="B2" s="74"/>
      <c r="C2" s="74"/>
      <c r="D2" s="74"/>
      <c r="E2" s="74"/>
    </row>
    <row r="3" spans="1:5" x14ac:dyDescent="0.35">
      <c r="A3" s="20" t="s">
        <v>743</v>
      </c>
      <c r="B3" s="33" t="s">
        <v>744</v>
      </c>
    </row>
    <row r="4" spans="1:5" ht="33.75" customHeight="1" x14ac:dyDescent="0.35">
      <c r="A4" s="16" t="s">
        <v>745</v>
      </c>
      <c r="B4" s="16" t="s">
        <v>746</v>
      </c>
      <c r="C4" s="16" t="s">
        <v>747</v>
      </c>
      <c r="D4" s="16" t="s">
        <v>748</v>
      </c>
      <c r="E4" s="16" t="s">
        <v>325</v>
      </c>
    </row>
    <row r="5" spans="1:5" x14ac:dyDescent="0.35">
      <c r="A5" s="69" t="s">
        <v>749</v>
      </c>
      <c r="B5" s="62">
        <f>SUMPRODUCT(('Risk Register'!$A$6:$A$105&lt;&gt;"")*(COUNTIF('Risk Register'!$A$6:$A$105,'Risk Register'!$A$6:$A$105)&gt;1))</f>
        <v>0</v>
      </c>
      <c r="C5" s="62">
        <f>0</f>
        <v>0</v>
      </c>
      <c r="D5" s="62">
        <f t="shared" ref="D5:D21" si="0">MAX(0,B5-C5)</f>
        <v>0</v>
      </c>
      <c r="E5" s="62" t="str">
        <f t="shared" ref="E5:E21" si="1">IF(B5=0,"OK",IF(D5=0,"Known sample exception","DEFECT"))</f>
        <v>OK</v>
      </c>
    </row>
    <row r="6" spans="1:5" ht="25" x14ac:dyDescent="0.35">
      <c r="A6" s="69" t="s">
        <v>750</v>
      </c>
      <c r="B6" s="62">
        <f>SUMPRODUCT(('Risk Register'!$A$6:$A$105&lt;&gt;"")*ISNA(MATCH('Risk Register'!$D$6:$D$105,Appetite!$A$6:$A$17,0)))</f>
        <v>0</v>
      </c>
      <c r="C6" s="62">
        <f>0</f>
        <v>0</v>
      </c>
      <c r="D6" s="62">
        <f t="shared" si="0"/>
        <v>0</v>
      </c>
      <c r="E6" s="62" t="str">
        <f t="shared" si="1"/>
        <v>OK</v>
      </c>
    </row>
    <row r="7" spans="1:5" ht="25" x14ac:dyDescent="0.35">
      <c r="A7" s="69" t="s">
        <v>825</v>
      </c>
      <c r="B7" s="62">
        <f>SUMPRODUCT(('Risk Register'!$A$6:$A$105&lt;&gt;"")*((('Risk Register'!$F$6:$F$105="")+('Risk Register'!$G$6:$G$105="")+('Risk Register'!$H$6:$H$105="Invalid inherent ratings"))&gt;0))</f>
        <v>0</v>
      </c>
      <c r="C7" s="62">
        <f>0</f>
        <v>0</v>
      </c>
      <c r="D7" s="62">
        <f t="shared" si="0"/>
        <v>0</v>
      </c>
      <c r="E7" s="62" t="str">
        <f t="shared" si="1"/>
        <v>OK</v>
      </c>
    </row>
    <row r="8" spans="1:5" ht="25" x14ac:dyDescent="0.35">
      <c r="A8" s="69" t="s">
        <v>751</v>
      </c>
      <c r="B8" s="62">
        <f>SUMPRODUCT(('Treatment Tracker'!$A$6:$A$105&lt;&gt;"")*ISNA(MATCH('Treatment Tracker'!$B$6:$B$105,'Risk Register'!$A$6:$A$105,0)))</f>
        <v>0</v>
      </c>
      <c r="C8" s="62">
        <f>0</f>
        <v>0</v>
      </c>
      <c r="D8" s="62">
        <f t="shared" si="0"/>
        <v>0</v>
      </c>
      <c r="E8" s="62" t="str">
        <f t="shared" si="1"/>
        <v>OK</v>
      </c>
    </row>
    <row r="9" spans="1:5" ht="37.5" x14ac:dyDescent="0.35">
      <c r="A9" s="69" t="s">
        <v>752</v>
      </c>
      <c r="B9" s="62">
        <f ca="1">SUMPRODUCT((Appetite!$A$6:$A$17&lt;&gt;"")*(Appetite!$I$6:$I$17&lt;&gt;"OK"))</f>
        <v>0</v>
      </c>
      <c r="C9" s="62">
        <f>0</f>
        <v>0</v>
      </c>
      <c r="D9" s="62">
        <f t="shared" ca="1" si="0"/>
        <v>0</v>
      </c>
      <c r="E9" s="62" t="str">
        <f t="shared" ca="1" si="1"/>
        <v>OK</v>
      </c>
    </row>
    <row r="10" spans="1:5" ht="25" x14ac:dyDescent="0.35">
      <c r="A10" s="69" t="s">
        <v>753</v>
      </c>
      <c r="B10" s="62">
        <f ca="1">SUMPRODUCT(('Risk Register'!$V$6:$V$105="Yes")*('Risk Register'!$W$6:$W$105=""))</f>
        <v>0</v>
      </c>
      <c r="C10" s="62">
        <f>0</f>
        <v>0</v>
      </c>
      <c r="D10" s="62">
        <f t="shared" ca="1" si="0"/>
        <v>0</v>
      </c>
      <c r="E10" s="62" t="str">
        <f t="shared" ca="1" si="1"/>
        <v>OK</v>
      </c>
    </row>
    <row r="11" spans="1:5" ht="25" x14ac:dyDescent="0.35">
      <c r="A11" s="69" t="s">
        <v>733</v>
      </c>
      <c r="B11" s="62">
        <f ca="1">COUNTIF('Risk Acceptance Register'!$O$6:$O$105,"Insufficient authority")</f>
        <v>1</v>
      </c>
      <c r="C11" s="62">
        <f ca="1">SUM('Risk Acceptance Register'!$S$6:$S$105)</f>
        <v>1</v>
      </c>
      <c r="D11" s="62">
        <f t="shared" ca="1" si="0"/>
        <v>0</v>
      </c>
      <c r="E11" s="62" t="str">
        <f t="shared" ca="1" si="1"/>
        <v>Known sample exception</v>
      </c>
    </row>
    <row r="12" spans="1:5" ht="25" x14ac:dyDescent="0.35">
      <c r="A12" s="69" t="s">
        <v>754</v>
      </c>
      <c r="B12" s="62">
        <f>SUMPRODUCT(('Risk Acceptance Register'!$A$6:$A$105&lt;&gt;"")*ISNA(MATCH('Risk Acceptance Register'!$B$6:$B$105,'Risk Register'!$A$6:$A$105,0)))</f>
        <v>0</v>
      </c>
      <c r="C12" s="62">
        <f>0</f>
        <v>0</v>
      </c>
      <c r="D12" s="62">
        <f t="shared" si="0"/>
        <v>0</v>
      </c>
      <c r="E12" s="62" t="str">
        <f t="shared" si="1"/>
        <v>OK</v>
      </c>
    </row>
    <row r="13" spans="1:5" x14ac:dyDescent="0.35">
      <c r="A13" s="69" t="s">
        <v>755</v>
      </c>
      <c r="B13" s="62">
        <f>SUMPRODUCT(('KRI Tracker'!$A$6:$A$65&lt;&gt;"")*('KRI Tracker'!$C$6:$C$65&lt;&gt;"")*ISNA(MATCH('KRI Tracker'!$C$6:$C$65,'Risk Register'!$A$6:$A$105,0)))</f>
        <v>0</v>
      </c>
      <c r="C13" s="62">
        <f>0</f>
        <v>0</v>
      </c>
      <c r="D13" s="62">
        <f t="shared" si="0"/>
        <v>0</v>
      </c>
      <c r="E13" s="62" t="str">
        <f t="shared" si="1"/>
        <v>OK</v>
      </c>
    </row>
    <row r="14" spans="1:5" ht="25" x14ac:dyDescent="0.35">
      <c r="A14" s="69" t="s">
        <v>756</v>
      </c>
      <c r="B14" s="62">
        <f>SUMPRODUCT(('Risk-Control Matrix'!$A$6:$A$155&lt;&gt;"")*ISNA(MATCH('Risk-Control Matrix'!$B$6:$B$155,'Risk Register'!$A$6:$A$105,0)))</f>
        <v>0</v>
      </c>
      <c r="C14" s="62">
        <f>0</f>
        <v>0</v>
      </c>
      <c r="D14" s="62">
        <f t="shared" si="0"/>
        <v>0</v>
      </c>
      <c r="E14" s="62" t="str">
        <f t="shared" si="1"/>
        <v>OK</v>
      </c>
    </row>
    <row r="15" spans="1:5" ht="25" x14ac:dyDescent="0.35">
      <c r="A15" s="69" t="s">
        <v>757</v>
      </c>
      <c r="B15" s="62">
        <f>COUNTIF('Scenario Analysis'!$U$8:$U$57,"Check*")+COUNTIF('Scenario Analysis'!$U$8:$U$57,"Missing*")+COUNTIF('Scenario Analysis'!$U$8:$U$57,"Invalid*")</f>
        <v>0</v>
      </c>
      <c r="C15" s="62">
        <f>0</f>
        <v>0</v>
      </c>
      <c r="D15" s="62">
        <f t="shared" si="0"/>
        <v>0</v>
      </c>
      <c r="E15" s="62" t="str">
        <f t="shared" si="1"/>
        <v>OK</v>
      </c>
    </row>
    <row r="16" spans="1:5" ht="25" x14ac:dyDescent="0.35">
      <c r="A16" s="69" t="s">
        <v>826</v>
      </c>
      <c r="B16" s="62">
        <f>SUMPRODUCT(('Aggregation Map'!$A$6:$A$205&lt;&gt;"")*ISNA(MATCH('Aggregation Map'!$B$6:$B$205,'Risk Aggregation'!$A$10:$A$29,0)))+COUNTIF('Aggregation Map'!$H$6:$H$205,"Duplicate")+SUMPRODUCT(('Aggregation Map'!$A$6:$A$205&lt;&gt;"")*ISNA(MATCH('Aggregation Map'!$A$6:$A$205,'Risk Register'!$A$6:$A$105,0)))</f>
        <v>0</v>
      </c>
      <c r="C16" s="62">
        <f>0</f>
        <v>0</v>
      </c>
      <c r="D16" s="62">
        <f t="shared" si="0"/>
        <v>0</v>
      </c>
      <c r="E16" s="62" t="str">
        <f t="shared" si="1"/>
        <v>OK</v>
      </c>
    </row>
    <row r="17" spans="1:5" ht="25" x14ac:dyDescent="0.35">
      <c r="A17" s="69" t="s">
        <v>758</v>
      </c>
      <c r="B17" s="62">
        <f>COUNTIF('Scenario Analysis'!$AB$8:$AB$57,"Basis*")</f>
        <v>0</v>
      </c>
      <c r="C17" s="62">
        <f>0</f>
        <v>0</v>
      </c>
      <c r="D17" s="62">
        <f t="shared" si="0"/>
        <v>0</v>
      </c>
      <c r="E17" s="62" t="str">
        <f t="shared" si="1"/>
        <v>OK</v>
      </c>
    </row>
    <row r="18" spans="1:5" ht="25" x14ac:dyDescent="0.35">
      <c r="A18" s="69" t="s">
        <v>759</v>
      </c>
      <c r="B18" s="62">
        <f>SUMPRODUCT(('Change Log'!$A$6:$A$505&lt;&gt;"")*((('Change Log'!$G$6:$G$505="")+('Change Log'!$I$6:$I$505=""))&gt;0))</f>
        <v>0</v>
      </c>
      <c r="C18" s="62">
        <f>0</f>
        <v>0</v>
      </c>
      <c r="D18" s="62">
        <f t="shared" si="0"/>
        <v>0</v>
      </c>
      <c r="E18" s="62" t="str">
        <f t="shared" si="1"/>
        <v>OK</v>
      </c>
    </row>
    <row r="19" spans="1:5" ht="25" x14ac:dyDescent="0.35">
      <c r="A19" s="69" t="s">
        <v>739</v>
      </c>
      <c r="B19" s="62">
        <f ca="1">SUMPRODUCT(('Risk Register'!$A$6:$A$105&lt;&gt;"")*('Risk Register'!$AI$6:$AI$105&lt;&gt;"Valid"))</f>
        <v>2</v>
      </c>
      <c r="C19" s="62">
        <f>0</f>
        <v>0</v>
      </c>
      <c r="D19" s="62">
        <f t="shared" ca="1" si="0"/>
        <v>2</v>
      </c>
      <c r="E19" s="62" t="str">
        <f t="shared" ca="1" si="1"/>
        <v>DEFECT</v>
      </c>
    </row>
    <row r="20" spans="1:5" ht="25" x14ac:dyDescent="0.35">
      <c r="A20" s="69" t="s">
        <v>760</v>
      </c>
      <c r="B20" s="62">
        <f>SUMPRODUCT(('Snapshot History'!$W$6:$W$1005&lt;&gt;"")*(COUNTIF('Snapshot History'!$W$6:$W$1005,'Snapshot History'!$W$6:$W$1005)&gt;1))</f>
        <v>0</v>
      </c>
      <c r="C20" s="62">
        <f>0</f>
        <v>0</v>
      </c>
      <c r="D20" s="62">
        <f t="shared" si="0"/>
        <v>0</v>
      </c>
      <c r="E20" s="62" t="str">
        <f t="shared" si="1"/>
        <v>OK</v>
      </c>
    </row>
    <row r="21" spans="1:5" ht="25" x14ac:dyDescent="0.35">
      <c r="A21" s="69" t="s">
        <v>761</v>
      </c>
      <c r="B21" s="62">
        <f>COUNTIF('Snapshot Trends'!$Q$9:$Q$30,"MISMATCH")+COUNTIF('Snapshot Trends'!$Q$9:$Q$30,"Control totals missing")</f>
        <v>0</v>
      </c>
      <c r="C21" s="62">
        <f>0</f>
        <v>0</v>
      </c>
      <c r="D21" s="62">
        <f t="shared" si="0"/>
        <v>0</v>
      </c>
      <c r="E21" s="62" t="str">
        <f t="shared" si="1"/>
        <v>OK</v>
      </c>
    </row>
    <row r="22" spans="1:5" x14ac:dyDescent="0.35">
      <c r="C22">
        <f>0</f>
        <v>0</v>
      </c>
    </row>
    <row r="23" spans="1:5" x14ac:dyDescent="0.35">
      <c r="A23" s="20" t="s">
        <v>762</v>
      </c>
      <c r="B23" s="9">
        <f ca="1">SUM(B5:B21)</f>
        <v>3</v>
      </c>
      <c r="C23" s="9">
        <f ca="1">SUM(C5:C21)</f>
        <v>1</v>
      </c>
      <c r="D23" s="9">
        <f ca="1">SUM(D5:D21)+MAX(0,B27)+COUNTIF('Risk Acceptance Register'!$T$6:$T$105,"Duplicate Acceptance ID")</f>
        <v>2</v>
      </c>
    </row>
    <row r="24" spans="1:5" x14ac:dyDescent="0.35">
      <c r="A24" s="20" t="s">
        <v>763</v>
      </c>
      <c r="B24" s="73" t="str">
        <f ca="1">IF($B$3="Yes","DEMONSTRATION: fictional data - "&amp;IF(D23&gt;0,D23&amp;" sample data-quality issue(s)","checks complete"),IF(D23&gt;0,"REVIEW REQUIRED: "&amp;D23&amp;" unresolved data-quality issue(s)",IF(COUNTIF(Appetite!$A$6:$A$17,"?*")=0,"SETUP REQUIRED: define and approve appetite limits",IF(AND(COUNTIF('Scenario Analysis'!$A$8:$A$57,"?*")&gt;0,OR(NOT(ISNUMBER('Scenario Analysis'!$B$4)),NOT(ISNUMBER('Scenario Analysis'!$B$5)),'Scenario Analysis'!$B$4&lt;0,'Scenario Analysis'!$B$5&lt;0)),"SETUP REQUIRED: set scenario loss tolerances",IF(COUNTIF('Risk Register'!$A$6:$A$105,"?*")=0,"TEMPLATE: no risk records entered",IF(C23&gt;0,"CHECKS COMPLETE: "&amp;C23&amp;" authorised exception(s) - review scope","CHECKS COMPLETE: no unresolved data-quality issues"))))))</f>
        <v>DEMONSTRATION: fictional data - 2 sample data-quality issue(s)</v>
      </c>
      <c r="C24" s="73">
        <f>0</f>
        <v>0</v>
      </c>
      <c r="D24" s="73"/>
      <c r="E24" s="73"/>
    </row>
    <row r="25" spans="1:5" ht="29" x14ac:dyDescent="0.35">
      <c r="A25" s="68" t="s">
        <v>766</v>
      </c>
      <c r="B25">
        <f ca="1">COUNTIFS('Risk Register'!$A$6:$A$105,"&lt;&gt;",'Risk Register'!$AI$6:$AI$105,"&lt;&gt;Valid")</f>
        <v>2</v>
      </c>
      <c r="C25">
        <f>0</f>
        <v>0</v>
      </c>
    </row>
    <row r="26" spans="1:5" ht="29" x14ac:dyDescent="0.35">
      <c r="A26" s="68" t="s">
        <v>767</v>
      </c>
      <c r="B26">
        <f ca="1">COUNTIFS('Risk Register'!$A$6:$A$105,"&lt;&gt;",'Risk Register'!$U$6:$U$105,"Configuration*")</f>
        <v>0</v>
      </c>
      <c r="C26">
        <f>0</f>
        <v>0</v>
      </c>
    </row>
    <row r="27" spans="1:5" ht="29" x14ac:dyDescent="0.35">
      <c r="A27" s="68" t="s">
        <v>768</v>
      </c>
      <c r="B27">
        <f ca="1">COUNTIFS('Exception Register'!$A$6:$A$45,"&lt;&gt;",'Exception Register'!$J$6:$J$45,"Valid",'Exception Register'!$K$6:$K$45,0)</f>
        <v>0</v>
      </c>
    </row>
    <row r="28" spans="1:5" ht="29" x14ac:dyDescent="0.35">
      <c r="A28" s="68" t="s">
        <v>769</v>
      </c>
      <c r="B28">
        <f>COUNTIFS('Risk Register'!$A$6:$A$105,"&lt;&gt;",'Risk Register'!$AL$6:$AL$105,"&lt;&gt;Approved")</f>
        <v>0</v>
      </c>
    </row>
  </sheetData>
  <mergeCells count="2">
    <mergeCell ref="B24:E24"/>
    <mergeCell ref="A2:E2"/>
  </mergeCells>
  <conditionalFormatting sqref="B24">
    <cfRule type="expression" dxfId="6" priority="5">
      <formula>LEFT(B24,3)="NOT"</formula>
    </cfRule>
    <cfRule type="expression" dxfId="5" priority="6">
      <formula>LEFT(B24,6)="READY:"</formula>
    </cfRule>
    <cfRule type="expression" dxfId="4" priority="7">
      <formula>OR(LEFT(B24,6)="SAMPLE",LEFT(B24,10)="READY WITH")</formula>
    </cfRule>
  </conditionalFormatting>
  <conditionalFormatting sqref="E5:E21">
    <cfRule type="expression" dxfId="3" priority="2">
      <formula>E5="DEFECT"</formula>
    </cfRule>
    <cfRule type="expression" dxfId="2" priority="3">
      <formula>E5="Known sample exception"</formula>
    </cfRule>
    <cfRule type="expression" dxfId="1" priority="4">
      <formula>E5="OK"</formula>
    </cfRule>
  </conditionalFormatting>
  <dataValidations count="1">
    <dataValidation type="list" allowBlank="1" showErrorMessage="1" sqref="B3" xr:uid="{00000000-0002-0000-1400-000000000000}">
      <formula1>"Yes,No"</formula1>
      <formula2>0</formula2>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25"/>
  <sheetViews>
    <sheetView workbookViewId="0"/>
  </sheetViews>
  <sheetFormatPr defaultRowHeight="14.5" x14ac:dyDescent="0.35"/>
  <cols>
    <col min="1" max="1" width="24" customWidth="1"/>
    <col min="2" max="2" width="52" customWidth="1"/>
    <col min="3" max="3" width="71" customWidth="1"/>
    <col min="4" max="4" width="19" customWidth="1"/>
  </cols>
  <sheetData>
    <row r="1" spans="1:4" ht="20" customHeight="1" x14ac:dyDescent="0.35">
      <c r="A1" s="66" t="s">
        <v>770</v>
      </c>
      <c r="B1" s="66"/>
      <c r="C1" s="66"/>
      <c r="D1" s="66"/>
    </row>
    <row r="3" spans="1:4" x14ac:dyDescent="0.35">
      <c r="A3" s="67" t="s">
        <v>771</v>
      </c>
      <c r="B3" s="67" t="s">
        <v>772</v>
      </c>
      <c r="C3" s="68"/>
      <c r="D3" s="68"/>
    </row>
    <row r="4" spans="1:4" ht="29" x14ac:dyDescent="0.35">
      <c r="A4" s="68" t="s">
        <v>773</v>
      </c>
      <c r="B4" s="68" t="s">
        <v>774</v>
      </c>
      <c r="C4" s="68"/>
      <c r="D4" s="68"/>
    </row>
    <row r="5" spans="1:4" ht="29" x14ac:dyDescent="0.35">
      <c r="A5" s="68" t="s">
        <v>775</v>
      </c>
      <c r="B5" s="68" t="s">
        <v>776</v>
      </c>
      <c r="C5" s="68"/>
      <c r="D5" s="68"/>
    </row>
    <row r="6" spans="1:4" ht="43.5" x14ac:dyDescent="0.35">
      <c r="A6" s="68" t="s">
        <v>777</v>
      </c>
      <c r="B6" s="68" t="s">
        <v>778</v>
      </c>
      <c r="C6" s="68"/>
      <c r="D6" s="68"/>
    </row>
    <row r="7" spans="1:4" ht="29" x14ac:dyDescent="0.35">
      <c r="A7" s="68" t="s">
        <v>779</v>
      </c>
      <c r="B7" s="68" t="s">
        <v>780</v>
      </c>
      <c r="C7" s="68"/>
      <c r="D7" s="68"/>
    </row>
    <row r="8" spans="1:4" ht="29" x14ac:dyDescent="0.35">
      <c r="A8" s="68" t="s">
        <v>781</v>
      </c>
      <c r="B8" s="68" t="s">
        <v>782</v>
      </c>
      <c r="C8" s="68"/>
      <c r="D8" s="68"/>
    </row>
    <row r="9" spans="1:4" ht="43.5" x14ac:dyDescent="0.35">
      <c r="A9" s="68" t="s">
        <v>783</v>
      </c>
      <c r="B9" s="68" t="s">
        <v>784</v>
      </c>
      <c r="C9" s="68"/>
      <c r="D9" s="68"/>
    </row>
    <row r="10" spans="1:4" ht="29" x14ac:dyDescent="0.35">
      <c r="A10" s="68" t="s">
        <v>785</v>
      </c>
      <c r="B10" s="68" t="s">
        <v>786</v>
      </c>
      <c r="C10" s="68"/>
      <c r="D10" s="68"/>
    </row>
    <row r="11" spans="1:4" ht="29" x14ac:dyDescent="0.35">
      <c r="A11" s="68" t="s">
        <v>787</v>
      </c>
      <c r="B11" s="68" t="s">
        <v>788</v>
      </c>
      <c r="C11" s="68"/>
      <c r="D11" s="68"/>
    </row>
    <row r="12" spans="1:4" ht="29" x14ac:dyDescent="0.35">
      <c r="A12" s="68" t="s">
        <v>789</v>
      </c>
      <c r="B12" s="68" t="s">
        <v>790</v>
      </c>
      <c r="C12" s="68"/>
      <c r="D12" s="68"/>
    </row>
    <row r="13" spans="1:4" ht="29" x14ac:dyDescent="0.35">
      <c r="A13" s="68" t="s">
        <v>325</v>
      </c>
      <c r="B13" s="68" t="s">
        <v>791</v>
      </c>
      <c r="C13" s="68"/>
      <c r="D13" s="68"/>
    </row>
    <row r="14" spans="1:4" x14ac:dyDescent="0.35">
      <c r="A14" s="68"/>
      <c r="B14" s="68"/>
      <c r="C14" s="68"/>
      <c r="D14" s="68"/>
    </row>
    <row r="15" spans="1:4" x14ac:dyDescent="0.35">
      <c r="A15" s="67" t="s">
        <v>486</v>
      </c>
      <c r="B15" s="67" t="s">
        <v>792</v>
      </c>
      <c r="C15" s="67" t="s">
        <v>793</v>
      </c>
      <c r="D15" s="67" t="s">
        <v>794</v>
      </c>
    </row>
    <row r="16" spans="1:4" x14ac:dyDescent="0.35">
      <c r="A16" s="68" t="s">
        <v>795</v>
      </c>
      <c r="B16" s="68" t="s">
        <v>796</v>
      </c>
      <c r="C16" s="68" t="s">
        <v>797</v>
      </c>
      <c r="D16" s="68" t="s">
        <v>798</v>
      </c>
    </row>
    <row r="17" spans="1:4" x14ac:dyDescent="0.35">
      <c r="A17" s="68" t="s">
        <v>799</v>
      </c>
      <c r="B17" s="68" t="s">
        <v>800</v>
      </c>
      <c r="C17" s="68" t="s">
        <v>801</v>
      </c>
      <c r="D17" s="68" t="s">
        <v>798</v>
      </c>
    </row>
    <row r="18" spans="1:4" x14ac:dyDescent="0.35">
      <c r="A18" s="68" t="s">
        <v>802</v>
      </c>
      <c r="B18" s="68" t="s">
        <v>803</v>
      </c>
      <c r="C18" s="68" t="s">
        <v>804</v>
      </c>
      <c r="D18" s="68" t="s">
        <v>798</v>
      </c>
    </row>
    <row r="19" spans="1:4" x14ac:dyDescent="0.35">
      <c r="A19" s="68" t="s">
        <v>805</v>
      </c>
      <c r="B19" s="68" t="s">
        <v>806</v>
      </c>
      <c r="C19" s="68" t="s">
        <v>807</v>
      </c>
      <c r="D19" s="68" t="s">
        <v>798</v>
      </c>
    </row>
    <row r="20" spans="1:4" x14ac:dyDescent="0.35">
      <c r="A20" s="68" t="s">
        <v>808</v>
      </c>
      <c r="B20" s="68" t="s">
        <v>809</v>
      </c>
      <c r="C20" s="68" t="s">
        <v>810</v>
      </c>
      <c r="D20" s="68" t="s">
        <v>798</v>
      </c>
    </row>
    <row r="21" spans="1:4" x14ac:dyDescent="0.35">
      <c r="A21" s="68" t="s">
        <v>811</v>
      </c>
      <c r="B21" s="68" t="s">
        <v>812</v>
      </c>
      <c r="C21" s="68" t="s">
        <v>813</v>
      </c>
      <c r="D21" s="68" t="s">
        <v>798</v>
      </c>
    </row>
    <row r="22" spans="1:4" x14ac:dyDescent="0.35">
      <c r="A22" s="68" t="s">
        <v>814</v>
      </c>
      <c r="B22" s="68" t="s">
        <v>815</v>
      </c>
      <c r="C22" s="68" t="s">
        <v>816</v>
      </c>
      <c r="D22" s="68" t="s">
        <v>798</v>
      </c>
    </row>
    <row r="23" spans="1:4" x14ac:dyDescent="0.35">
      <c r="A23" s="68" t="s">
        <v>817</v>
      </c>
      <c r="B23" s="68" t="s">
        <v>818</v>
      </c>
      <c r="C23" s="68" t="s">
        <v>819</v>
      </c>
      <c r="D23" s="68" t="s">
        <v>798</v>
      </c>
    </row>
    <row r="24" spans="1:4" x14ac:dyDescent="0.35">
      <c r="A24" s="68" t="s">
        <v>820</v>
      </c>
      <c r="B24" s="68" t="s">
        <v>821</v>
      </c>
      <c r="C24" s="68" t="s">
        <v>819</v>
      </c>
      <c r="D24" s="68" t="s">
        <v>798</v>
      </c>
    </row>
    <row r="25" spans="1:4" x14ac:dyDescent="0.35">
      <c r="A25" s="68" t="s">
        <v>822</v>
      </c>
      <c r="B25" s="68" t="s">
        <v>823</v>
      </c>
      <c r="C25" s="68" t="s">
        <v>824</v>
      </c>
      <c r="D25" s="68" t="s">
        <v>798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README</vt:lpstr>
      <vt:lpstr>Dashboard</vt:lpstr>
      <vt:lpstr>Methodology</vt:lpstr>
      <vt:lpstr>Appetite</vt:lpstr>
      <vt:lpstr>Risk Register</vt:lpstr>
      <vt:lpstr>Breach Monitor</vt:lpstr>
      <vt:lpstr>Treatment Tracker</vt:lpstr>
      <vt:lpstr>Risk Acceptance Register</vt:lpstr>
      <vt:lpstr>KRI Tracker</vt:lpstr>
      <vt:lpstr>Risk-Control Matrix</vt:lpstr>
      <vt:lpstr>RCM Summary</vt:lpstr>
      <vt:lpstr>Emerging Risks</vt:lpstr>
      <vt:lpstr>Scenario Analysis</vt:lpstr>
      <vt:lpstr>Risk Aggregation</vt:lpstr>
      <vt:lpstr>Aggregation Map</vt:lpstr>
      <vt:lpstr>Snapshot Capture</vt:lpstr>
      <vt:lpstr>Snapshot History</vt:lpstr>
      <vt:lpstr>Snapshot Trends</vt:lpstr>
      <vt:lpstr>Change Log</vt:lpstr>
      <vt:lpstr>Exception Register</vt:lpstr>
      <vt:lpstr>Checks</vt:lpstr>
      <vt:lpstr>v4.1 Validation Guide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IJIOLA, Olawale (GLOUCESTERSHIRE HOSPITALS NHS FOUNDAT</cp:lastModifiedBy>
  <dcterms:created xsi:type="dcterms:W3CDTF">2026-10-23T14:31:20Z</dcterms:created>
  <dcterms:modified xsi:type="dcterms:W3CDTF">2026-10-23T14:33:38Z</dcterms:modified>
</cp:coreProperties>
</file>